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filterPrivacy="1" codeName="ThisWorkbook"/>
  <xr:revisionPtr revIDLastSave="0" documentId="8_{E338E49E-E8B9-48E1-814D-F193DB5D5B92}" xr6:coauthVersionLast="43" xr6:coauthVersionMax="43" xr10:uidLastSave="{00000000-0000-0000-0000-000000000000}"/>
  <workbookProtection workbookAlgorithmName="SHA-512" workbookHashValue="3KHvOPTRQ+x3rjQiEPbJL3eTay/hhVw32yfDsL7+xP5j6qFw56d+LqVPAOKXSoeDQY/9Vy+HdfMSnDloJ631mA==" workbookSaltValue="J0vqaaiEXMgkbfZNh2xSuQ==" workbookSpinCount="100000" lockStructure="1"/>
  <bookViews>
    <workbookView xWindow="-120" yWindow="-120" windowWidth="29040" windowHeight="15990" activeTab="7" xr2:uid="{00000000-000D-0000-FFFF-FFFF00000000}"/>
  </bookViews>
  <sheets>
    <sheet name="worksheet_FY20" sheetId="10" state="hidden" r:id="rId1"/>
    <sheet name="FY20_Ag_Vals" sheetId="11" state="hidden" r:id="rId2"/>
    <sheet name="worksheet_FY19" sheetId="8" state="hidden" r:id="rId3"/>
    <sheet name="worksheet_FY18" sheetId="1" state="hidden" r:id="rId4"/>
    <sheet name="worksheet_FY17" sheetId="6" state="hidden" r:id="rId5"/>
    <sheet name="worksheet_FY16" sheetId="5" state="hidden" r:id="rId6"/>
    <sheet name="agvalues" sheetId="3" state="hidden" r:id="rId7"/>
    <sheet name="LevyCalculator" sheetId="2" r:id="rId8"/>
    <sheet name="FY18_Ag_Vals" sheetId="4" state="hidden" r:id="rId9"/>
    <sheet name="FY19_Ag_Vals" sheetId="9" state="hidden" r:id="rId10"/>
    <sheet name="FY17_Ag_Vals_" sheetId="7" state="hidden" r:id="rId11"/>
  </sheets>
  <definedNames>
    <definedName name="_xlnm.Print_Area" localSheetId="6">agvalues!$A$1:$C$100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4" i="11" l="1"/>
  <c r="D101" i="11"/>
  <c r="C100" i="3" s="1"/>
  <c r="D100" i="11"/>
  <c r="C99" i="3" s="1"/>
  <c r="D99" i="11"/>
  <c r="C98" i="3" s="1"/>
  <c r="D98" i="11"/>
  <c r="C97" i="3" s="1"/>
  <c r="D97" i="11"/>
  <c r="C96" i="3" s="1"/>
  <c r="D96" i="11"/>
  <c r="C95" i="3" s="1"/>
  <c r="D95" i="11"/>
  <c r="C94" i="3" s="1"/>
  <c r="D94" i="11"/>
  <c r="C93" i="3" s="1"/>
  <c r="D93" i="11"/>
  <c r="C92" i="3" s="1"/>
  <c r="D92" i="11"/>
  <c r="C91" i="3" s="1"/>
  <c r="D91" i="11"/>
  <c r="C90" i="3" s="1"/>
  <c r="D90" i="11"/>
  <c r="C89" i="3" s="1"/>
  <c r="D89" i="11"/>
  <c r="C88" i="3" s="1"/>
  <c r="D88" i="11"/>
  <c r="C87" i="3" s="1"/>
  <c r="D87" i="11"/>
  <c r="C86" i="3" s="1"/>
  <c r="D86" i="11"/>
  <c r="C85" i="3" s="1"/>
  <c r="D85" i="11"/>
  <c r="C84" i="3" s="1"/>
  <c r="D84" i="11"/>
  <c r="C83" i="3" s="1"/>
  <c r="D83" i="11"/>
  <c r="C82" i="3" s="1"/>
  <c r="D82" i="11"/>
  <c r="C81" i="3" s="1"/>
  <c r="D81" i="11"/>
  <c r="C80" i="3" s="1"/>
  <c r="D80" i="11"/>
  <c r="C79" i="3" s="1"/>
  <c r="D79" i="11"/>
  <c r="C78" i="3" s="1"/>
  <c r="D78" i="11"/>
  <c r="C77" i="3" s="1"/>
  <c r="D77" i="11"/>
  <c r="C76" i="3" s="1"/>
  <c r="D76" i="11"/>
  <c r="C75" i="3" s="1"/>
  <c r="D75" i="11"/>
  <c r="C74" i="3" s="1"/>
  <c r="D74" i="11"/>
  <c r="C73" i="3" s="1"/>
  <c r="D73" i="11"/>
  <c r="C72" i="3" s="1"/>
  <c r="D72" i="11"/>
  <c r="C71" i="3" s="1"/>
  <c r="D71" i="11"/>
  <c r="C70" i="3" s="1"/>
  <c r="D70" i="11"/>
  <c r="C69" i="3" s="1"/>
  <c r="D69" i="11"/>
  <c r="C68" i="3" s="1"/>
  <c r="D68" i="11"/>
  <c r="C67" i="3" s="1"/>
  <c r="D67" i="11"/>
  <c r="C66" i="3" s="1"/>
  <c r="D66" i="11"/>
  <c r="C65" i="3" s="1"/>
  <c r="D65" i="11"/>
  <c r="C64" i="3" s="1"/>
  <c r="D64" i="11"/>
  <c r="C63" i="3" s="1"/>
  <c r="D63" i="11"/>
  <c r="C62" i="3" s="1"/>
  <c r="D62" i="11"/>
  <c r="C61" i="3" s="1"/>
  <c r="D61" i="11"/>
  <c r="C60" i="3" s="1"/>
  <c r="D60" i="11"/>
  <c r="C59" i="3" s="1"/>
  <c r="D59" i="11"/>
  <c r="C58" i="3" s="1"/>
  <c r="D58" i="11"/>
  <c r="C57" i="3" s="1"/>
  <c r="D57" i="11"/>
  <c r="C56" i="3" s="1"/>
  <c r="D56" i="11"/>
  <c r="C55" i="3" s="1"/>
  <c r="D55" i="11"/>
  <c r="C54" i="3" s="1"/>
  <c r="D54" i="11"/>
  <c r="C53" i="3" s="1"/>
  <c r="D53" i="11"/>
  <c r="C52" i="3" s="1"/>
  <c r="D52" i="11"/>
  <c r="C51" i="3" s="1"/>
  <c r="D51" i="11"/>
  <c r="C50" i="3" s="1"/>
  <c r="D50" i="11"/>
  <c r="C49" i="3" s="1"/>
  <c r="D49" i="11"/>
  <c r="C48" i="3" s="1"/>
  <c r="D48" i="11"/>
  <c r="C47" i="3" s="1"/>
  <c r="D47" i="11"/>
  <c r="C46" i="3" s="1"/>
  <c r="D46" i="11"/>
  <c r="C45" i="3" s="1"/>
  <c r="D45" i="11"/>
  <c r="C44" i="3" s="1"/>
  <c r="D44" i="11"/>
  <c r="C43" i="3" s="1"/>
  <c r="D43" i="11"/>
  <c r="C42" i="3" s="1"/>
  <c r="D42" i="11"/>
  <c r="C41" i="3" s="1"/>
  <c r="D41" i="11"/>
  <c r="C40" i="3" s="1"/>
  <c r="D40" i="11"/>
  <c r="C39" i="3" s="1"/>
  <c r="D39" i="11"/>
  <c r="C38" i="3" s="1"/>
  <c r="D38" i="11"/>
  <c r="C37" i="3" s="1"/>
  <c r="D37" i="11"/>
  <c r="C36" i="3" s="1"/>
  <c r="D36" i="11"/>
  <c r="C35" i="3" s="1"/>
  <c r="D35" i="11"/>
  <c r="C34" i="3" s="1"/>
  <c r="D34" i="11"/>
  <c r="C33" i="3" s="1"/>
  <c r="D33" i="11"/>
  <c r="C32" i="3" s="1"/>
  <c r="D32" i="11"/>
  <c r="C31" i="3" s="1"/>
  <c r="D31" i="11"/>
  <c r="C30" i="3" s="1"/>
  <c r="D30" i="11"/>
  <c r="C29" i="3" s="1"/>
  <c r="D29" i="11"/>
  <c r="C28" i="3" s="1"/>
  <c r="D28" i="11"/>
  <c r="C27" i="3" s="1"/>
  <c r="D27" i="11"/>
  <c r="C26" i="3" s="1"/>
  <c r="D26" i="11"/>
  <c r="C25" i="3" s="1"/>
  <c r="D25" i="11"/>
  <c r="C24" i="3" s="1"/>
  <c r="D24" i="11"/>
  <c r="C23" i="3" s="1"/>
  <c r="D23" i="11"/>
  <c r="C22" i="3" s="1"/>
  <c r="D22" i="11"/>
  <c r="C21" i="3" s="1"/>
  <c r="D21" i="11"/>
  <c r="C20" i="3" s="1"/>
  <c r="D20" i="11"/>
  <c r="C19" i="3" s="1"/>
  <c r="D19" i="11"/>
  <c r="C18" i="3" s="1"/>
  <c r="D18" i="11"/>
  <c r="C17" i="3" s="1"/>
  <c r="D17" i="11"/>
  <c r="C16" i="3" s="1"/>
  <c r="D16" i="11"/>
  <c r="C15" i="3" s="1"/>
  <c r="D15" i="11"/>
  <c r="C14" i="3" s="1"/>
  <c r="D14" i="11"/>
  <c r="C13" i="3" s="1"/>
  <c r="D13" i="11"/>
  <c r="C12" i="3" s="1"/>
  <c r="D12" i="11"/>
  <c r="C11" i="3" s="1"/>
  <c r="D11" i="11"/>
  <c r="C10" i="3" s="1"/>
  <c r="D10" i="11"/>
  <c r="C9" i="3" s="1"/>
  <c r="D9" i="11"/>
  <c r="C8" i="3" s="1"/>
  <c r="D8" i="11"/>
  <c r="C7" i="3" s="1"/>
  <c r="D7" i="11"/>
  <c r="C6" i="3" s="1"/>
  <c r="D6" i="11"/>
  <c r="C5" i="3" s="1"/>
  <c r="D5" i="11"/>
  <c r="C4" i="3" s="1"/>
  <c r="D4" i="11"/>
  <c r="C3" i="3" s="1"/>
  <c r="D3" i="11"/>
  <c r="C2" i="3" s="1"/>
  <c r="H5" i="8" l="1"/>
  <c r="C9" i="8"/>
  <c r="C7" i="8"/>
  <c r="I38" i="2"/>
  <c r="I30" i="2"/>
  <c r="I20" i="2"/>
  <c r="F38" i="2"/>
  <c r="F30" i="2"/>
  <c r="F20" i="2"/>
  <c r="C9" i="10"/>
  <c r="C15" i="10" s="1"/>
  <c r="H8" i="10"/>
  <c r="I8" i="10" s="1"/>
  <c r="H7" i="10"/>
  <c r="I7" i="10" s="1"/>
  <c r="C7" i="10"/>
  <c r="E7" i="10" s="1"/>
  <c r="H5" i="10"/>
  <c r="I19" i="2" s="1"/>
  <c r="H9" i="10" l="1"/>
  <c r="I9" i="10" s="1"/>
  <c r="I32" i="2"/>
  <c r="J9" i="10"/>
  <c r="I35" i="2"/>
  <c r="I29" i="2"/>
  <c r="I36" i="2"/>
  <c r="I10" i="10"/>
  <c r="J7" i="10"/>
  <c r="I23" i="2" s="1"/>
  <c r="C19" i="10"/>
  <c r="F7" i="10"/>
  <c r="D9" i="10"/>
  <c r="C12" i="10"/>
  <c r="C16" i="10" s="1"/>
  <c r="C13" i="10"/>
  <c r="C17" i="10" s="1"/>
  <c r="C14" i="10"/>
  <c r="C18" i="10" s="1"/>
  <c r="D7" i="10"/>
  <c r="J8" i="10"/>
  <c r="I24" i="2" s="1"/>
  <c r="C9" i="1"/>
  <c r="D22" i="10" l="1"/>
  <c r="I21" i="2"/>
  <c r="I26" i="2" s="1"/>
  <c r="I37" i="2"/>
  <c r="I40" i="2" s="1"/>
  <c r="F9" i="10"/>
  <c r="F12" i="10" s="1"/>
  <c r="D12" i="10"/>
  <c r="C22" i="10"/>
  <c r="J10" i="10"/>
  <c r="H8" i="8"/>
  <c r="H7" i="8"/>
  <c r="I7" i="8" s="1"/>
  <c r="D104" i="9"/>
  <c r="D101" i="9"/>
  <c r="D100" i="3" s="1"/>
  <c r="D100" i="9"/>
  <c r="D99" i="3" s="1"/>
  <c r="D99" i="9"/>
  <c r="D98" i="3" s="1"/>
  <c r="D98" i="9"/>
  <c r="D97" i="3" s="1"/>
  <c r="D97" i="9"/>
  <c r="D96" i="3" s="1"/>
  <c r="D96" i="9"/>
  <c r="D95" i="3" s="1"/>
  <c r="D95" i="9"/>
  <c r="D94" i="3" s="1"/>
  <c r="D94" i="9"/>
  <c r="D93" i="3" s="1"/>
  <c r="D93" i="9"/>
  <c r="D92" i="3" s="1"/>
  <c r="D92" i="9"/>
  <c r="D91" i="3" s="1"/>
  <c r="D91" i="9"/>
  <c r="D90" i="3" s="1"/>
  <c r="D90" i="9"/>
  <c r="D89" i="3" s="1"/>
  <c r="D89" i="9"/>
  <c r="D88" i="3" s="1"/>
  <c r="D88" i="9"/>
  <c r="D87" i="3" s="1"/>
  <c r="D87" i="9"/>
  <c r="D86" i="3" s="1"/>
  <c r="D86" i="9"/>
  <c r="D85" i="3" s="1"/>
  <c r="D85" i="9"/>
  <c r="D84" i="3" s="1"/>
  <c r="D84" i="9"/>
  <c r="D83" i="3" s="1"/>
  <c r="D83" i="9"/>
  <c r="D82" i="3" s="1"/>
  <c r="D82" i="9"/>
  <c r="D81" i="3" s="1"/>
  <c r="D81" i="9"/>
  <c r="D80" i="3" s="1"/>
  <c r="D80" i="9"/>
  <c r="D79" i="3" s="1"/>
  <c r="D79" i="9"/>
  <c r="D78" i="3" s="1"/>
  <c r="D78" i="9"/>
  <c r="D77" i="3" s="1"/>
  <c r="D77" i="9"/>
  <c r="D76" i="3" s="1"/>
  <c r="D76" i="9"/>
  <c r="D75" i="3" s="1"/>
  <c r="D75" i="9"/>
  <c r="D74" i="3" s="1"/>
  <c r="D74" i="9"/>
  <c r="D73" i="3" s="1"/>
  <c r="D73" i="9"/>
  <c r="D72" i="3" s="1"/>
  <c r="D72" i="9"/>
  <c r="D71" i="3" s="1"/>
  <c r="D71" i="9"/>
  <c r="D70" i="3" s="1"/>
  <c r="D70" i="9"/>
  <c r="D69" i="3" s="1"/>
  <c r="D69" i="9"/>
  <c r="D68" i="3" s="1"/>
  <c r="D68" i="9"/>
  <c r="D67" i="3" s="1"/>
  <c r="D67" i="9"/>
  <c r="D66" i="3" s="1"/>
  <c r="D66" i="9"/>
  <c r="D65" i="3" s="1"/>
  <c r="D65" i="9"/>
  <c r="D64" i="3" s="1"/>
  <c r="D64" i="9"/>
  <c r="D63" i="3" s="1"/>
  <c r="D63" i="9"/>
  <c r="D62" i="3" s="1"/>
  <c r="D62" i="9"/>
  <c r="D61" i="3" s="1"/>
  <c r="D61" i="9"/>
  <c r="D60" i="3" s="1"/>
  <c r="D60" i="9"/>
  <c r="D59" i="3" s="1"/>
  <c r="D59" i="9"/>
  <c r="D58" i="3" s="1"/>
  <c r="D58" i="9"/>
  <c r="D57" i="3" s="1"/>
  <c r="D57" i="9"/>
  <c r="D56" i="3" s="1"/>
  <c r="D56" i="9"/>
  <c r="D55" i="3" s="1"/>
  <c r="D55" i="9"/>
  <c r="D54" i="3" s="1"/>
  <c r="D54" i="9"/>
  <c r="D53" i="3" s="1"/>
  <c r="D53" i="9"/>
  <c r="D52" i="3" s="1"/>
  <c r="D52" i="9"/>
  <c r="D51" i="3" s="1"/>
  <c r="D51" i="9"/>
  <c r="D50" i="3" s="1"/>
  <c r="D50" i="9"/>
  <c r="D49" i="3" s="1"/>
  <c r="D49" i="9"/>
  <c r="D48" i="3" s="1"/>
  <c r="D48" i="9"/>
  <c r="D47" i="3" s="1"/>
  <c r="D47" i="9"/>
  <c r="D46" i="3" s="1"/>
  <c r="D46" i="9"/>
  <c r="D45" i="3" s="1"/>
  <c r="D45" i="9"/>
  <c r="D44" i="3" s="1"/>
  <c r="D44" i="9"/>
  <c r="D43" i="3" s="1"/>
  <c r="D43" i="9"/>
  <c r="D42" i="3" s="1"/>
  <c r="D42" i="9"/>
  <c r="D41" i="3" s="1"/>
  <c r="D41" i="9"/>
  <c r="D40" i="3" s="1"/>
  <c r="D40" i="9"/>
  <c r="D39" i="3" s="1"/>
  <c r="D39" i="9"/>
  <c r="D38" i="3" s="1"/>
  <c r="D38" i="9"/>
  <c r="D37" i="3" s="1"/>
  <c r="D37" i="9"/>
  <c r="D36" i="3" s="1"/>
  <c r="D36" i="9"/>
  <c r="D35" i="3" s="1"/>
  <c r="D35" i="9"/>
  <c r="D34" i="3" s="1"/>
  <c r="D34" i="9"/>
  <c r="D33" i="3" s="1"/>
  <c r="D33" i="9"/>
  <c r="D32" i="3" s="1"/>
  <c r="D32" i="9"/>
  <c r="D31" i="3" s="1"/>
  <c r="D31" i="9"/>
  <c r="D30" i="3" s="1"/>
  <c r="D30" i="9"/>
  <c r="D29" i="3" s="1"/>
  <c r="D29" i="9"/>
  <c r="D28" i="3" s="1"/>
  <c r="D28" i="9"/>
  <c r="D27" i="3" s="1"/>
  <c r="D27" i="9"/>
  <c r="D26" i="3" s="1"/>
  <c r="D26" i="9"/>
  <c r="D25" i="3" s="1"/>
  <c r="D25" i="9"/>
  <c r="D24" i="3" s="1"/>
  <c r="D24" i="9"/>
  <c r="D23" i="3" s="1"/>
  <c r="D23" i="9"/>
  <c r="D22" i="3" s="1"/>
  <c r="D22" i="9"/>
  <c r="D21" i="3" s="1"/>
  <c r="D21" i="9"/>
  <c r="D20" i="3" s="1"/>
  <c r="D20" i="9"/>
  <c r="D19" i="3" s="1"/>
  <c r="D19" i="9"/>
  <c r="D18" i="3" s="1"/>
  <c r="D18" i="9"/>
  <c r="D17" i="3" s="1"/>
  <c r="D17" i="9"/>
  <c r="D16" i="3" s="1"/>
  <c r="D16" i="9"/>
  <c r="D15" i="3" s="1"/>
  <c r="D15" i="9"/>
  <c r="D14" i="3" s="1"/>
  <c r="D14" i="9"/>
  <c r="D13" i="3" s="1"/>
  <c r="D13" i="9"/>
  <c r="D12" i="3" s="1"/>
  <c r="D12" i="9"/>
  <c r="D11" i="3" s="1"/>
  <c r="D11" i="9"/>
  <c r="D10" i="3" s="1"/>
  <c r="D10" i="9"/>
  <c r="D9" i="3" s="1"/>
  <c r="D9" i="9"/>
  <c r="D8" i="3" s="1"/>
  <c r="D8" i="9"/>
  <c r="D7" i="3" s="1"/>
  <c r="D7" i="9"/>
  <c r="D6" i="3" s="1"/>
  <c r="D6" i="9"/>
  <c r="D5" i="3" s="1"/>
  <c r="D5" i="9"/>
  <c r="D4" i="3" s="1"/>
  <c r="D4" i="9"/>
  <c r="D3" i="3" s="1"/>
  <c r="D3" i="9"/>
  <c r="D2" i="3" s="1"/>
  <c r="H9" i="8"/>
  <c r="I9" i="8" s="1"/>
  <c r="J9" i="8" s="1"/>
  <c r="C15" i="8"/>
  <c r="I8" i="8"/>
  <c r="I45" i="2" l="1"/>
  <c r="F19" i="2"/>
  <c r="F29" i="2"/>
  <c r="F36" i="2"/>
  <c r="F35" i="2"/>
  <c r="I10" i="8"/>
  <c r="J8" i="8"/>
  <c r="F24" i="2" s="1"/>
  <c r="J10" i="8"/>
  <c r="C19" i="8"/>
  <c r="D7" i="8"/>
  <c r="J7" i="8"/>
  <c r="F23" i="2" s="1"/>
  <c r="D9" i="8"/>
  <c r="C12" i="8"/>
  <c r="F21" i="2" s="1"/>
  <c r="C13" i="8"/>
  <c r="C17" i="8" s="1"/>
  <c r="E7" i="8"/>
  <c r="C14" i="8"/>
  <c r="C18" i="8" s="1"/>
  <c r="F7" i="8"/>
  <c r="C9" i="6"/>
  <c r="H8" i="6"/>
  <c r="H7" i="6"/>
  <c r="H5" i="6"/>
  <c r="F26" i="2" l="1"/>
  <c r="F37" i="2"/>
  <c r="F40" i="2" s="1"/>
  <c r="C22" i="8"/>
  <c r="C16" i="8"/>
  <c r="F9" i="8"/>
  <c r="F12" i="8" s="1"/>
  <c r="D12" i="8"/>
  <c r="F32" i="2" s="1"/>
  <c r="D22" i="8"/>
  <c r="E44" i="2"/>
  <c r="H44" i="2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4" i="4"/>
  <c r="D3" i="4"/>
  <c r="C13" i="6"/>
  <c r="C15" i="6"/>
  <c r="C7" i="6"/>
  <c r="F7" i="6" s="1"/>
  <c r="F45" i="2" l="1"/>
  <c r="E7" i="6"/>
  <c r="C17" i="6"/>
  <c r="C12" i="6"/>
  <c r="C16" i="6" s="1"/>
  <c r="C14" i="6"/>
  <c r="C18" i="6" s="1"/>
  <c r="D9" i="6"/>
  <c r="C19" i="6"/>
  <c r="D7" i="6"/>
  <c r="A1" i="2"/>
  <c r="I46" i="2"/>
  <c r="F46" i="2"/>
  <c r="K17" i="2"/>
  <c r="K15" i="2"/>
  <c r="H8" i="5"/>
  <c r="I8" i="5" s="1"/>
  <c r="H7" i="5"/>
  <c r="I7" i="5" s="1"/>
  <c r="H5" i="5"/>
  <c r="C7" i="5"/>
  <c r="E7" i="5" s="1"/>
  <c r="E5" i="3"/>
  <c r="C9" i="5"/>
  <c r="C13" i="5" s="1"/>
  <c r="C15" i="2"/>
  <c r="F2" i="3"/>
  <c r="G2" i="3" s="1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3" i="3"/>
  <c r="N4" i="3"/>
  <c r="N5" i="3"/>
  <c r="N6" i="3"/>
  <c r="N7" i="3"/>
  <c r="N8" i="3"/>
  <c r="N9" i="3"/>
  <c r="N10" i="3"/>
  <c r="N11" i="3"/>
  <c r="N12" i="3"/>
  <c r="N13" i="3"/>
  <c r="N14" i="3"/>
  <c r="N2" i="3"/>
  <c r="M3" i="3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2" i="3"/>
  <c r="B14" i="2"/>
  <c r="B13" i="2"/>
  <c r="E15" i="2"/>
  <c r="I7" i="1"/>
  <c r="I7" i="6" s="1"/>
  <c r="J7" i="1"/>
  <c r="I8" i="1"/>
  <c r="H9" i="1"/>
  <c r="H9" i="6" s="1"/>
  <c r="C7" i="1"/>
  <c r="C14" i="1"/>
  <c r="C15" i="5"/>
  <c r="C19" i="5" l="1"/>
  <c r="K46" i="2"/>
  <c r="D9" i="5"/>
  <c r="E9" i="5" s="1"/>
  <c r="E22" i="5" s="1"/>
  <c r="H2" i="3"/>
  <c r="I2" i="3" s="1"/>
  <c r="F7" i="1"/>
  <c r="E7" i="1"/>
  <c r="J8" i="1"/>
  <c r="I8" i="6"/>
  <c r="H9" i="5"/>
  <c r="I9" i="5" s="1"/>
  <c r="I10" i="5" s="1"/>
  <c r="I9" i="1"/>
  <c r="I10" i="1" s="1"/>
  <c r="J10" i="1" s="1"/>
  <c r="C17" i="5"/>
  <c r="C12" i="5"/>
  <c r="C16" i="5" s="1"/>
  <c r="J7" i="6"/>
  <c r="D12" i="6"/>
  <c r="D22" i="6"/>
  <c r="F5" i="3"/>
  <c r="G5" i="3" s="1"/>
  <c r="C14" i="5"/>
  <c r="C18" i="5" s="1"/>
  <c r="D7" i="5"/>
  <c r="J8" i="5"/>
  <c r="J7" i="5"/>
  <c r="D7" i="1"/>
  <c r="C15" i="1"/>
  <c r="C19" i="1" s="1"/>
  <c r="C18" i="1"/>
  <c r="C13" i="1"/>
  <c r="C17" i="1" s="1"/>
  <c r="C12" i="1"/>
  <c r="D9" i="1"/>
  <c r="F9" i="1" s="1"/>
  <c r="F12" i="1" s="1"/>
  <c r="J9" i="5" l="1"/>
  <c r="E9" i="10"/>
  <c r="E22" i="10" s="1"/>
  <c r="C24" i="10" s="1"/>
  <c r="E12" i="10"/>
  <c r="D12" i="5"/>
  <c r="D22" i="5"/>
  <c r="J8" i="6"/>
  <c r="C22" i="1"/>
  <c r="E12" i="6"/>
  <c r="H5" i="3"/>
  <c r="E12" i="1"/>
  <c r="J10" i="5"/>
  <c r="C22" i="5"/>
  <c r="C24" i="5" s="1"/>
  <c r="J9" i="1"/>
  <c r="J9" i="6" s="1"/>
  <c r="I9" i="6"/>
  <c r="I10" i="6" s="1"/>
  <c r="C16" i="1"/>
  <c r="D22" i="1"/>
  <c r="D12" i="1"/>
  <c r="F48" i="2" l="1"/>
  <c r="F49" i="2" s="1"/>
  <c r="C22" i="6"/>
  <c r="J10" i="6"/>
  <c r="I48" i="2"/>
  <c r="I5" i="3"/>
  <c r="E12" i="8" s="1"/>
  <c r="E12" i="5"/>
  <c r="E9" i="8" l="1"/>
  <c r="E22" i="8" s="1"/>
  <c r="C24" i="8" s="1"/>
  <c r="E9" i="1"/>
  <c r="E22" i="1" s="1"/>
  <c r="C24" i="1" s="1"/>
  <c r="I49" i="2" s="1"/>
  <c r="K49" i="2" s="1"/>
  <c r="E9" i="6"/>
  <c r="E22" i="6" s="1"/>
  <c r="C24" i="6" s="1"/>
  <c r="K45" i="2"/>
  <c r="K48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E9" authorId="0" shapeId="0" xr:uid="{8665DA51-2415-486C-A80D-E8AEA234920E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Check this value when updating to pull correct informaiton off of "agvalues tab"</t>
        </r>
      </text>
    </comment>
    <comment ref="E12" authorId="0" shapeId="0" xr:uid="{1470C86D-22CE-4560-AA96-71F3B47584B7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Check this value when updating to pull correct informaiton off of "agvalues tab"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I15" authorId="0" shapeId="0" xr:uid="{00000000-0006-0000-0500-000001000000}">
      <text>
        <r>
          <rPr>
            <sz val="8"/>
            <color rgb="FF000000"/>
            <rFont val="Tahoma"/>
            <family val="2"/>
          </rPr>
          <t>Include growth over previous year if applicable</t>
        </r>
      </text>
    </comment>
  </commentList>
</comments>
</file>

<file path=xl/sharedStrings.xml><?xml version="1.0" encoding="utf-8"?>
<sst xmlns="http://schemas.openxmlformats.org/spreadsheetml/2006/main" count="1118" uniqueCount="202">
  <si>
    <t>Property Type</t>
  </si>
  <si>
    <t>Residential</t>
  </si>
  <si>
    <t>Commercial</t>
  </si>
  <si>
    <t>Agricultural</t>
  </si>
  <si>
    <t>Rollback</t>
  </si>
  <si>
    <t>Assessed Value</t>
  </si>
  <si>
    <t>Homestead</t>
  </si>
  <si>
    <t>Military</t>
  </si>
  <si>
    <t>Taxable Value w/o credit</t>
  </si>
  <si>
    <t>Taxable Value w/Homestead</t>
  </si>
  <si>
    <t>Taxable Value w/Homestead &amp; Military</t>
  </si>
  <si>
    <t>Tax Change w/Homestead</t>
  </si>
  <si>
    <t>Tax Change w/Homestead &amp; Military</t>
  </si>
  <si>
    <t>Levy Amount</t>
  </si>
  <si>
    <t>Property Type Control</t>
  </si>
  <si>
    <t>No Credit Control</t>
  </si>
  <si>
    <t>Homestead Control</t>
  </si>
  <si>
    <t>Military Control</t>
  </si>
  <si>
    <t>Both</t>
  </si>
  <si>
    <t>Taxable Value Military</t>
  </si>
  <si>
    <t>Tax Change w/Military</t>
  </si>
  <si>
    <t>Tax Change - Commercial and AG</t>
  </si>
  <si>
    <t>Net Tax Change</t>
  </si>
  <si>
    <t>Final Answer Box</t>
  </si>
  <si>
    <t>Property Tax Levy Cost Calculator</t>
  </si>
  <si>
    <t xml:space="preserve">Iowa Association of School Boards </t>
  </si>
  <si>
    <t>Enter the levy amount in dollars per thousand.  For example, $1.00 = 1.00 or $0.67 = .67</t>
  </si>
  <si>
    <t>Name</t>
  </si>
  <si>
    <t>ADAIR</t>
  </si>
  <si>
    <t>ADAMS</t>
  </si>
  <si>
    <t>ALLAMAKEE</t>
  </si>
  <si>
    <t>APPANOOSE</t>
  </si>
  <si>
    <t>AUDUBON</t>
  </si>
  <si>
    <t>BENTON</t>
  </si>
  <si>
    <t>BLACK HAWK</t>
  </si>
  <si>
    <t>BOONE</t>
  </si>
  <si>
    <t>BREMER</t>
  </si>
  <si>
    <t>BUCHANAN</t>
  </si>
  <si>
    <t>BUENA VISTA</t>
  </si>
  <si>
    <t>BUTLER</t>
  </si>
  <si>
    <t>CALHOUN</t>
  </si>
  <si>
    <t>CARROLL</t>
  </si>
  <si>
    <t>CASS</t>
  </si>
  <si>
    <t>CEDAR</t>
  </si>
  <si>
    <t>CERRO GORDO</t>
  </si>
  <si>
    <t>CHEROKEE</t>
  </si>
  <si>
    <t>CHICKASAW</t>
  </si>
  <si>
    <t>CLARKE</t>
  </si>
  <si>
    <t>CLAY</t>
  </si>
  <si>
    <t>CLAYTON</t>
  </si>
  <si>
    <t>CLINTON</t>
  </si>
  <si>
    <t>CRAWFORD</t>
  </si>
  <si>
    <t>DALLAS</t>
  </si>
  <si>
    <t>DAVIS</t>
  </si>
  <si>
    <t>DECATUR</t>
  </si>
  <si>
    <t>DELAWARE</t>
  </si>
  <si>
    <t>DES MOINES</t>
  </si>
  <si>
    <t>DICKINSON</t>
  </si>
  <si>
    <t>DUBUQUE</t>
  </si>
  <si>
    <t>EMMET</t>
  </si>
  <si>
    <t>FAYETTE</t>
  </si>
  <si>
    <t>FLOYD</t>
  </si>
  <si>
    <t>FRANKLIN</t>
  </si>
  <si>
    <t>FREMONT</t>
  </si>
  <si>
    <t>GREENE</t>
  </si>
  <si>
    <t>GRUNDY</t>
  </si>
  <si>
    <t>GUTHRIE</t>
  </si>
  <si>
    <t>HAMILTON</t>
  </si>
  <si>
    <t>HANCOCK</t>
  </si>
  <si>
    <t>HARDIN</t>
  </si>
  <si>
    <t>HARRISON</t>
  </si>
  <si>
    <t>HENRY</t>
  </si>
  <si>
    <t>HOWARD</t>
  </si>
  <si>
    <t>HUMBOLDT</t>
  </si>
  <si>
    <t>IDA</t>
  </si>
  <si>
    <t>IOWA</t>
  </si>
  <si>
    <t>JACKSON</t>
  </si>
  <si>
    <t>JASPER</t>
  </si>
  <si>
    <t>JEFFERSON</t>
  </si>
  <si>
    <t>JOHNSON</t>
  </si>
  <si>
    <t>JONES</t>
  </si>
  <si>
    <t>KEOKUK</t>
  </si>
  <si>
    <t>KOSSUTH</t>
  </si>
  <si>
    <t>LEE</t>
  </si>
  <si>
    <t>LINN</t>
  </si>
  <si>
    <t>LOUISA</t>
  </si>
  <si>
    <t>LUCAS</t>
  </si>
  <si>
    <t>LYON</t>
  </si>
  <si>
    <t>MADISON</t>
  </si>
  <si>
    <t>MAHASKA</t>
  </si>
  <si>
    <t>MARION</t>
  </si>
  <si>
    <t>MARSHALL</t>
  </si>
  <si>
    <t>MILLS</t>
  </si>
  <si>
    <t>MITCHELL</t>
  </si>
  <si>
    <t>MONONA</t>
  </si>
  <si>
    <t>MONROE</t>
  </si>
  <si>
    <t>MONTGOMERY</t>
  </si>
  <si>
    <t>MUSCATINE</t>
  </si>
  <si>
    <t>OBRIEN</t>
  </si>
  <si>
    <t>OSCEOLA</t>
  </si>
  <si>
    <t>PAGE</t>
  </si>
  <si>
    <t>PALO ALTO</t>
  </si>
  <si>
    <t>PLYMOUTH</t>
  </si>
  <si>
    <t>POCAHONTAS</t>
  </si>
  <si>
    <t>POLK</t>
  </si>
  <si>
    <t>POTTAWATTAMIE</t>
  </si>
  <si>
    <t>POWESHIEK</t>
  </si>
  <si>
    <t>RINGGOLD</t>
  </si>
  <si>
    <t>SAC</t>
  </si>
  <si>
    <t>SCOTT</t>
  </si>
  <si>
    <t>SHELBY</t>
  </si>
  <si>
    <t>SIOUX</t>
  </si>
  <si>
    <t>STORY</t>
  </si>
  <si>
    <t>TAMA</t>
  </si>
  <si>
    <t>TAYLOR</t>
  </si>
  <si>
    <t>UNION</t>
  </si>
  <si>
    <t>VAN BUREN</t>
  </si>
  <si>
    <t>WAPELLO</t>
  </si>
  <si>
    <t>WARREN</t>
  </si>
  <si>
    <t>WASHINGTON</t>
  </si>
  <si>
    <t>WAYNE</t>
  </si>
  <si>
    <t>WEBSTER</t>
  </si>
  <si>
    <t>WINNEBAGO</t>
  </si>
  <si>
    <t>WINNESHIEK</t>
  </si>
  <si>
    <t>WOODBURY</t>
  </si>
  <si>
    <t>WORTH</t>
  </si>
  <si>
    <t>WRIGHT</t>
  </si>
  <si>
    <t>Value</t>
  </si>
  <si>
    <t>Value Net of Rollback</t>
  </si>
  <si>
    <t>Acres times net value</t>
  </si>
  <si>
    <t>Net Cost</t>
  </si>
  <si>
    <t>$</t>
  </si>
  <si>
    <t>2001 Value</t>
  </si>
  <si>
    <t>2002 Value</t>
  </si>
  <si>
    <t>2003 value</t>
  </si>
  <si>
    <t>two year change</t>
  </si>
  <si>
    <t>one year change</t>
  </si>
  <si>
    <t>2009 Values</t>
  </si>
  <si>
    <t>Tax Change w/o credit</t>
  </si>
  <si>
    <t>2007 Values</t>
  </si>
  <si>
    <t>STATE</t>
  </si>
  <si>
    <t>2015 Ag. Per Acre Values</t>
  </si>
  <si>
    <t>County</t>
  </si>
  <si>
    <t>Note==&gt;  These are the valuations to use for FY 2017.</t>
  </si>
  <si>
    <t>Note:  Based on FY 2017 Information</t>
  </si>
  <si>
    <t>This calculator does not consider the impact of deductibility of property taxes on state and federal income taxes.</t>
  </si>
  <si>
    <t>Calculations are estimates only and may differ from actual amounts</t>
  </si>
  <si>
    <t>Sources:</t>
  </si>
  <si>
    <t>IASB calculations</t>
  </si>
  <si>
    <t>Iowa Department of Revenue</t>
  </si>
  <si>
    <t>Jurisdiction</t>
  </si>
  <si>
    <t>FY 2017</t>
  </si>
  <si>
    <t>Note:  Based on FY 2016 Information</t>
  </si>
  <si>
    <t>Taxable Valu</t>
  </si>
  <si>
    <t>Pull from Worksheet FY17</t>
  </si>
  <si>
    <t xml:space="preserve">Change </t>
  </si>
  <si>
    <t>Rollback %</t>
  </si>
  <si>
    <t>Taxable Valuation</t>
  </si>
  <si>
    <t>Homestead Credit</t>
  </si>
  <si>
    <t>Military Credit</t>
  </si>
  <si>
    <t>If Residential:</t>
  </si>
  <si>
    <t>Taxable Value</t>
  </si>
  <si>
    <t>If Commercial:</t>
  </si>
  <si>
    <t>If Agriculture:</t>
  </si>
  <si>
    <t>Number of Acres</t>
  </si>
  <si>
    <t>Value Before Rollback</t>
  </si>
  <si>
    <t>Taxable Value after Credits (if any)</t>
  </si>
  <si>
    <t>Taxable Valuation Calculation (Based on Property Type Selected Above)</t>
  </si>
  <si>
    <t>Change</t>
  </si>
  <si>
    <t>Taxable Valuation:</t>
  </si>
  <si>
    <t>Levy Rate:</t>
  </si>
  <si>
    <t>Annual Property Tax Amount:</t>
  </si>
  <si>
    <t>Monthly Property Tax Amount:</t>
  </si>
  <si>
    <t>Calculation of the School Property Tax Amount  - Based on Selected Property Type</t>
  </si>
  <si>
    <t>Taxable Value (no credits)</t>
  </si>
  <si>
    <t xml:space="preserve">Value Per Acre* </t>
  </si>
  <si>
    <t>X</t>
  </si>
  <si>
    <t>/</t>
  </si>
  <si>
    <t>Per $1,000 of Taxable Valuation:</t>
  </si>
  <si>
    <t>=</t>
  </si>
  <si>
    <t>Note:  Based on FY 2018 Information</t>
  </si>
  <si>
    <t>Note==&gt;  These are the valuations to use for FY 2018.</t>
  </si>
  <si>
    <t>2016 Ag. Per Acre Values</t>
  </si>
  <si>
    <t>Source:  Department of Revenue</t>
  </si>
  <si>
    <t>Multi-Res</t>
  </si>
  <si>
    <t>2016 Values</t>
  </si>
  <si>
    <t>Mult-Residential</t>
  </si>
  <si>
    <t>FY 2019</t>
  </si>
  <si>
    <t>Note:  Based on FY 2019 Information</t>
  </si>
  <si>
    <t>Note==&gt;  These are the valuations to use for FY 2019.</t>
  </si>
  <si>
    <t>2017 Ag. Per Acre Values</t>
  </si>
  <si>
    <t>2017 Values</t>
  </si>
  <si>
    <t>Note:  Based on FY 2020 Information</t>
  </si>
  <si>
    <t>Last Updated 10/22/2018</t>
  </si>
  <si>
    <t>FY 2019 Data (2017 Values)</t>
  </si>
  <si>
    <t>FY 2020</t>
  </si>
  <si>
    <t>10/22/2018</t>
  </si>
  <si>
    <t>Iowa Association of School Boards:  FY 2020 Property Tax Levy Cost Calculator</t>
  </si>
  <si>
    <t>2018Ag. Per Acre Values</t>
  </si>
  <si>
    <t>Note==&gt;  These are the valuations to use for FY 2020.</t>
  </si>
  <si>
    <t>2018 Values</t>
  </si>
  <si>
    <t>Note:  Rollback percentages are applicable for 1/1/18 valuations. *Agricultural property taxes are computed using preliminary average county 1/1/18 agricultural values.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</si>
</sst>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mmmm\-yy"/>
    <numFmt numFmtId="166" formatCode="_(* #,##0_);_(* \(#,##0\);_(* &quot;-&quot;??_);_(@_)"/>
    <numFmt numFmtId="167" formatCode="0.0%"/>
    <numFmt numFmtId="168" formatCode="&quot;$&quot;#,##0.00"/>
    <numFmt numFmtId="169" formatCode="_(&quot;$&quot;* #,##0_);_(&quot;$&quot;* \(#,##0\);_(&quot;$&quot;* &quot;-&quot;??_);_(@_)"/>
    <numFmt numFmtId="170" formatCode="_(&quot;$&quot;* #,##0.0000_);_(&quot;$&quot;* \(#,##0.0000\);_(&quot;$&quot;* &quot;-&quot;??_);_(@_)"/>
    <numFmt numFmtId="171" formatCode="_(* #,##0.0000_);_(* \(#,##0.0000\);_(* &quot;-&quot;??_);_(@_)"/>
    <numFmt numFmtId="172" formatCode="0.00_)"/>
  </numFmts>
  <fonts count="27">
    <font>
      <sz val="10"/>
      <name val="Arial"/>
    </font>
    <font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4"/>
      <color indexed="10"/>
      <name val="Arial"/>
      <family val="2"/>
    </font>
    <font>
      <sz val="8"/>
      <name val="Letter Gothic (W1)"/>
      <family val="3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i/>
      <sz val="14"/>
      <color rgb="FF002060"/>
      <name val="Arial"/>
      <family val="2"/>
    </font>
    <font>
      <sz val="10"/>
      <color rgb="FF002060"/>
      <name val="Arial"/>
      <family val="2"/>
    </font>
    <font>
      <b/>
      <i/>
      <sz val="10"/>
      <color rgb="FF002060"/>
      <name val="Arial"/>
      <family val="2"/>
    </font>
    <font>
      <sz val="11"/>
      <name val="Calibri"/>
      <family val="2"/>
      <scheme val="minor"/>
    </font>
    <font>
      <sz val="12"/>
      <color rgb="FF222222"/>
      <name val="Times New Roman"/>
      <family val="1"/>
    </font>
    <font>
      <b/>
      <sz val="12"/>
      <color theme="4" tint="-0.499984740745262"/>
      <name val="Arial"/>
      <family val="2"/>
    </font>
    <font>
      <sz val="10"/>
      <color theme="0" tint="-0.249977111117893"/>
      <name val="Arial"/>
      <family val="2"/>
    </font>
    <font>
      <b/>
      <sz val="10"/>
      <color theme="0" tint="-0.249977111117893"/>
      <name val="Arial"/>
      <family val="2"/>
    </font>
    <font>
      <b/>
      <i/>
      <sz val="10"/>
      <color theme="0" tint="-0.249977111117893"/>
      <name val="Arial"/>
      <family val="2"/>
    </font>
    <font>
      <b/>
      <i/>
      <sz val="12"/>
      <color theme="0" tint="-0.249977111117893"/>
      <name val="Arial"/>
      <family val="2"/>
    </font>
    <font>
      <sz val="10"/>
      <color theme="0"/>
      <name val="Arial"/>
      <family val="2"/>
    </font>
    <font>
      <sz val="8"/>
      <color rgb="FF000000"/>
      <name val="Tahoma"/>
      <family val="2"/>
    </font>
    <font>
      <sz val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44">
    <xf numFmtId="0" fontId="0" fillId="0" borderId="0" xfId="0"/>
    <xf numFmtId="44" fontId="0" fillId="0" borderId="0" xfId="2" applyFont="1"/>
    <xf numFmtId="0" fontId="0" fillId="0" borderId="0" xfId="0" applyAlignment="1">
      <alignment wrapText="1"/>
    </xf>
    <xf numFmtId="0" fontId="0" fillId="0" borderId="1" xfId="0" applyBorder="1"/>
    <xf numFmtId="0" fontId="0" fillId="0" borderId="2" xfId="0" applyBorder="1"/>
    <xf numFmtId="0" fontId="2" fillId="0" borderId="0" xfId="0" applyFont="1"/>
    <xf numFmtId="0" fontId="0" fillId="0" borderId="1" xfId="0" applyBorder="1" applyAlignment="1">
      <alignment wrapText="1"/>
    </xf>
    <xf numFmtId="0" fontId="0" fillId="0" borderId="3" xfId="0" applyBorder="1"/>
    <xf numFmtId="0" fontId="2" fillId="0" borderId="4" xfId="0" applyFont="1" applyBorder="1"/>
    <xf numFmtId="0" fontId="0" fillId="0" borderId="5" xfId="0" applyBorder="1"/>
    <xf numFmtId="0" fontId="2" fillId="0" borderId="4" xfId="0" applyFont="1" applyBorder="1" applyAlignment="1">
      <alignment wrapText="1"/>
    </xf>
    <xf numFmtId="0" fontId="0" fillId="0" borderId="5" xfId="0" applyBorder="1" applyAlignment="1">
      <alignment wrapText="1"/>
    </xf>
    <xf numFmtId="0" fontId="3" fillId="0" borderId="0" xfId="0" applyFont="1"/>
    <xf numFmtId="164" fontId="0" fillId="0" borderId="0" xfId="4" applyNumberFormat="1" applyFont="1"/>
    <xf numFmtId="0" fontId="0" fillId="0" borderId="0" xfId="0" applyAlignment="1">
      <alignment horizontal="center" wrapText="1"/>
    </xf>
    <xf numFmtId="44" fontId="0" fillId="0" borderId="0" xfId="0" applyNumberFormat="1"/>
    <xf numFmtId="0" fontId="3" fillId="0" borderId="0" xfId="0" applyFont="1" applyAlignment="1">
      <alignment horizontal="left"/>
    </xf>
    <xf numFmtId="43" fontId="3" fillId="0" borderId="0" xfId="1" applyFont="1" applyAlignment="1">
      <alignment horizontal="left"/>
    </xf>
    <xf numFmtId="0" fontId="3" fillId="0" borderId="4" xfId="0" applyFont="1" applyBorder="1"/>
    <xf numFmtId="0" fontId="3" fillId="0" borderId="4" xfId="0" applyFont="1" applyBorder="1" applyAlignment="1">
      <alignment vertical="center" wrapText="1"/>
    </xf>
    <xf numFmtId="14" fontId="0" fillId="0" borderId="0" xfId="0" applyNumberFormat="1"/>
    <xf numFmtId="0" fontId="4" fillId="0" borderId="0" xfId="0" applyFont="1" applyAlignment="1">
      <alignment horizontal="centerContinuous" wrapText="1"/>
    </xf>
    <xf numFmtId="0" fontId="0" fillId="0" borderId="0" xfId="0" applyAlignment="1">
      <alignment horizontal="centerContinuous" wrapText="1"/>
    </xf>
    <xf numFmtId="0" fontId="0" fillId="0" borderId="2" xfId="0" applyBorder="1" applyAlignment="1">
      <alignment horizontal="centerContinuous" wrapText="1"/>
    </xf>
    <xf numFmtId="0" fontId="5" fillId="0" borderId="0" xfId="0" applyFont="1" applyAlignment="1">
      <alignment horizontal="centerContinuous" wrapText="1"/>
    </xf>
    <xf numFmtId="4" fontId="6" fillId="0" borderId="0" xfId="0" applyNumberFormat="1" applyFont="1"/>
    <xf numFmtId="4" fontId="0" fillId="0" borderId="0" xfId="0" applyNumberFormat="1"/>
    <xf numFmtId="167" fontId="0" fillId="0" borderId="0" xfId="4" applyNumberFormat="1" applyFont="1"/>
    <xf numFmtId="0" fontId="1" fillId="0" borderId="0" xfId="0" applyFont="1"/>
    <xf numFmtId="168" fontId="1" fillId="0" borderId="0" xfId="3" applyNumberFormat="1"/>
    <xf numFmtId="0" fontId="0" fillId="2" borderId="0" xfId="0" applyFill="1"/>
    <xf numFmtId="0" fontId="0" fillId="2" borderId="0" xfId="0" applyFill="1" applyAlignment="1">
      <alignment wrapText="1"/>
    </xf>
    <xf numFmtId="0" fontId="12" fillId="2" borderId="6" xfId="0" applyFont="1" applyFill="1" applyBorder="1" applyAlignment="1">
      <alignment horizontal="centerContinuous"/>
    </xf>
    <xf numFmtId="0" fontId="13" fillId="2" borderId="7" xfId="0" applyFont="1" applyFill="1" applyBorder="1" applyAlignment="1">
      <alignment horizontal="centerContinuous"/>
    </xf>
    <xf numFmtId="0" fontId="13" fillId="2" borderId="8" xfId="0" applyFont="1" applyFill="1" applyBorder="1" applyAlignment="1">
      <alignment horizontal="centerContinuous"/>
    </xf>
    <xf numFmtId="0" fontId="14" fillId="0" borderId="9" xfId="0" applyFont="1" applyBorder="1"/>
    <xf numFmtId="0" fontId="7" fillId="0" borderId="0" xfId="0" applyFont="1"/>
    <xf numFmtId="0" fontId="0" fillId="0" borderId="0" xfId="0" applyAlignment="1">
      <alignment horizontal="center"/>
    </xf>
    <xf numFmtId="0" fontId="15" fillId="0" borderId="0" xfId="0" applyFont="1"/>
    <xf numFmtId="4" fontId="15" fillId="0" borderId="0" xfId="0" applyNumberFormat="1" applyFont="1"/>
    <xf numFmtId="164" fontId="8" fillId="3" borderId="0" xfId="4" applyNumberFormat="1" applyFont="1" applyFill="1"/>
    <xf numFmtId="164" fontId="16" fillId="4" borderId="20" xfId="0" applyNumberFormat="1" applyFont="1" applyFill="1" applyBorder="1" applyAlignment="1">
      <alignment horizontal="center" vertical="center" wrapText="1"/>
    </xf>
    <xf numFmtId="43" fontId="0" fillId="0" borderId="0" xfId="0" applyNumberFormat="1"/>
    <xf numFmtId="0" fontId="1" fillId="0" borderId="11" xfId="0" applyFon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0" xfId="0" applyFont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3" fillId="0" borderId="19" xfId="0" applyFont="1" applyBorder="1" applyAlignment="1">
      <alignment horizontal="center"/>
    </xf>
    <xf numFmtId="0" fontId="2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43" fontId="3" fillId="0" borderId="0" xfId="1" applyFont="1" applyAlignment="1" applyProtection="1">
      <alignment horizontal="left" vertical="center" wrapText="1"/>
      <protection locked="0"/>
    </xf>
    <xf numFmtId="166" fontId="0" fillId="0" borderId="0" xfId="1" applyNumberFormat="1" applyFont="1"/>
    <xf numFmtId="166" fontId="3" fillId="5" borderId="19" xfId="1" applyNumberFormat="1" applyFont="1" applyFill="1" applyBorder="1" applyAlignment="1" applyProtection="1">
      <alignment horizontal="left"/>
      <protection locked="0" hidden="1"/>
    </xf>
    <xf numFmtId="43" fontId="3" fillId="0" borderId="0" xfId="1" applyFont="1" applyAlignment="1">
      <alignment horizontal="center" wrapText="1"/>
    </xf>
    <xf numFmtId="43" fontId="9" fillId="6" borderId="0" xfId="1" applyFont="1" applyFill="1" applyAlignment="1">
      <alignment horizontal="center" wrapText="1"/>
    </xf>
    <xf numFmtId="0" fontId="9" fillId="6" borderId="0" xfId="0" applyFont="1" applyFill="1" applyAlignment="1">
      <alignment wrapText="1"/>
    </xf>
    <xf numFmtId="0" fontId="1" fillId="0" borderId="5" xfId="0" applyFont="1" applyBorder="1" applyAlignment="1">
      <alignment horizontal="right"/>
    </xf>
    <xf numFmtId="0" fontId="10" fillId="0" borderId="4" xfId="0" applyFont="1" applyBorder="1" applyAlignment="1">
      <alignment horizontal="right" wrapText="1"/>
    </xf>
    <xf numFmtId="0" fontId="1" fillId="0" borderId="4" xfId="0" applyFont="1" applyBorder="1"/>
    <xf numFmtId="169" fontId="1" fillId="0" borderId="5" xfId="2" applyNumberFormat="1" applyBorder="1" applyAlignment="1" applyProtection="1">
      <alignment horizontal="left"/>
      <protection hidden="1"/>
    </xf>
    <xf numFmtId="0" fontId="1" fillId="0" borderId="9" xfId="0" applyFont="1" applyBorder="1"/>
    <xf numFmtId="170" fontId="1" fillId="0" borderId="10" xfId="2" applyNumberFormat="1" applyBorder="1" applyAlignment="1">
      <alignment horizontal="left"/>
    </xf>
    <xf numFmtId="169" fontId="1" fillId="0" borderId="10" xfId="2" applyNumberFormat="1" applyBorder="1" applyAlignment="1">
      <alignment horizontal="left"/>
    </xf>
    <xf numFmtId="0" fontId="18" fillId="0" borderId="12" xfId="0" applyFont="1" applyBorder="1" applyAlignment="1">
      <alignment horizontal="right" wrapText="1"/>
    </xf>
    <xf numFmtId="169" fontId="18" fillId="0" borderId="12" xfId="2" applyNumberFormat="1" applyFont="1" applyBorder="1" applyAlignment="1" applyProtection="1">
      <alignment horizontal="center" vertical="center" wrapText="1"/>
      <protection locked="0"/>
    </xf>
    <xf numFmtId="43" fontId="18" fillId="0" borderId="12" xfId="1" applyFont="1" applyBorder="1" applyAlignment="1" applyProtection="1">
      <alignment horizontal="left" vertical="center" wrapText="1"/>
      <protection locked="0"/>
    </xf>
    <xf numFmtId="43" fontId="19" fillId="0" borderId="13" xfId="1" applyFont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right" wrapText="1"/>
    </xf>
    <xf numFmtId="0" fontId="19" fillId="0" borderId="0" xfId="0" applyFont="1" applyAlignment="1">
      <alignment vertical="center" wrapText="1"/>
    </xf>
    <xf numFmtId="164" fontId="18" fillId="0" borderId="0" xfId="4" applyNumberFormat="1" applyFont="1" applyAlignment="1" applyProtection="1">
      <alignment vertical="center" wrapText="1"/>
      <protection locked="0"/>
    </xf>
    <xf numFmtId="43" fontId="18" fillId="0" borderId="0" xfId="1" applyFont="1" applyAlignment="1" applyProtection="1">
      <alignment vertical="center" wrapText="1"/>
      <protection locked="0"/>
    </xf>
    <xf numFmtId="43" fontId="19" fillId="0" borderId="15" xfId="1" applyFont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right"/>
    </xf>
    <xf numFmtId="169" fontId="18" fillId="0" borderId="0" xfId="2" applyNumberFormat="1" applyFont="1" applyAlignment="1" applyProtection="1">
      <alignment horizontal="center" vertical="center" wrapText="1"/>
      <protection locked="0"/>
    </xf>
    <xf numFmtId="43" fontId="18" fillId="0" borderId="0" xfId="1" applyFont="1" applyAlignment="1" applyProtection="1">
      <alignment horizontal="left" vertical="center" wrapText="1"/>
      <protection locked="0"/>
    </xf>
    <xf numFmtId="169" fontId="18" fillId="0" borderId="0" xfId="2" applyNumberFormat="1" applyFont="1" applyAlignment="1" applyProtection="1">
      <alignment horizontal="left" vertical="center" wrapText="1"/>
      <protection locked="0"/>
    </xf>
    <xf numFmtId="166" fontId="18" fillId="0" borderId="0" xfId="1" applyNumberFormat="1" applyFont="1" applyAlignment="1" applyProtection="1">
      <alignment horizontal="center" vertical="center" wrapText="1"/>
      <protection locked="0"/>
    </xf>
    <xf numFmtId="0" fontId="20" fillId="0" borderId="16" xfId="0" applyFont="1" applyBorder="1" applyAlignment="1">
      <alignment wrapText="1"/>
    </xf>
    <xf numFmtId="0" fontId="19" fillId="0" borderId="17" xfId="0" applyFont="1" applyBorder="1" applyAlignment="1">
      <alignment horizontal="right"/>
    </xf>
    <xf numFmtId="169" fontId="19" fillId="0" borderId="17" xfId="2" applyNumberFormat="1" applyFont="1" applyBorder="1" applyAlignment="1" applyProtection="1">
      <alignment horizontal="center" vertical="center" wrapText="1"/>
      <protection locked="0"/>
    </xf>
    <xf numFmtId="43" fontId="19" fillId="0" borderId="17" xfId="1" applyFont="1" applyBorder="1" applyAlignment="1" applyProtection="1">
      <alignment horizontal="left" vertical="center" wrapText="1"/>
      <protection locked="0"/>
    </xf>
    <xf numFmtId="43" fontId="19" fillId="0" borderId="18" xfId="1" applyFont="1" applyBorder="1" applyAlignment="1" applyProtection="1">
      <alignment horizontal="left" vertical="center" wrapText="1"/>
      <protection locked="0"/>
    </xf>
    <xf numFmtId="0" fontId="20" fillId="0" borderId="0" xfId="0" applyFont="1" applyAlignment="1">
      <alignment wrapText="1"/>
    </xf>
    <xf numFmtId="0" fontId="18" fillId="0" borderId="0" xfId="0" applyFont="1" applyAlignment="1">
      <alignment wrapText="1"/>
    </xf>
    <xf numFmtId="43" fontId="19" fillId="0" borderId="0" xfId="1" applyFont="1" applyAlignment="1" applyProtection="1">
      <alignment horizontal="left" vertical="center" wrapText="1"/>
      <protection locked="0"/>
    </xf>
    <xf numFmtId="0" fontId="18" fillId="0" borderId="12" xfId="0" applyFont="1" applyBorder="1" applyAlignment="1">
      <alignment horizontal="right"/>
    </xf>
    <xf numFmtId="166" fontId="18" fillId="0" borderId="12" xfId="1" applyNumberFormat="1" applyFont="1" applyBorder="1" applyAlignment="1" applyProtection="1">
      <alignment horizontal="center" vertical="center" wrapText="1"/>
      <protection locked="0"/>
    </xf>
    <xf numFmtId="166" fontId="18" fillId="0" borderId="12" xfId="1" applyNumberFormat="1" applyFont="1" applyBorder="1" applyAlignment="1" applyProtection="1">
      <alignment horizontal="left" vertical="center" wrapText="1"/>
      <protection locked="0"/>
    </xf>
    <xf numFmtId="169" fontId="19" fillId="0" borderId="0" xfId="2" applyNumberFormat="1" applyFont="1" applyAlignment="1" applyProtection="1">
      <alignment horizontal="center" vertical="center" wrapText="1"/>
      <protection locked="0"/>
    </xf>
    <xf numFmtId="169" fontId="19" fillId="0" borderId="0" xfId="2" applyNumberFormat="1" applyFont="1" applyAlignment="1" applyProtection="1">
      <alignment horizontal="left" vertical="center" wrapText="1"/>
      <protection locked="0"/>
    </xf>
    <xf numFmtId="171" fontId="3" fillId="5" borderId="19" xfId="1" applyNumberFormat="1" applyFont="1" applyFill="1" applyBorder="1" applyAlignment="1" applyProtection="1">
      <alignment horizontal="left" vertical="center" wrapText="1"/>
      <protection locked="0"/>
    </xf>
    <xf numFmtId="0" fontId="22" fillId="0" borderId="0" xfId="0" applyFont="1"/>
    <xf numFmtId="169" fontId="7" fillId="0" borderId="10" xfId="2" applyNumberFormat="1" applyFont="1" applyBorder="1" applyAlignment="1">
      <alignment horizontal="center"/>
    </xf>
    <xf numFmtId="169" fontId="7" fillId="0" borderId="10" xfId="2" quotePrefix="1" applyNumberFormat="1" applyFont="1" applyBorder="1" applyAlignment="1">
      <alignment horizontal="center"/>
    </xf>
    <xf numFmtId="169" fontId="1" fillId="0" borderId="21" xfId="2" applyNumberFormat="1" applyBorder="1" applyAlignment="1" applyProtection="1">
      <alignment horizontal="left"/>
      <protection hidden="1"/>
    </xf>
    <xf numFmtId="170" fontId="1" fillId="0" borderId="3" xfId="2" applyNumberFormat="1" applyBorder="1" applyAlignment="1">
      <alignment horizontal="left"/>
    </xf>
    <xf numFmtId="169" fontId="1" fillId="0" borderId="3" xfId="2" applyNumberFormat="1" applyBorder="1" applyAlignment="1">
      <alignment horizontal="left"/>
    </xf>
    <xf numFmtId="169" fontId="3" fillId="0" borderId="21" xfId="2" applyNumberFormat="1" applyFont="1" applyBorder="1" applyAlignment="1" applyProtection="1">
      <alignment horizontal="left"/>
      <protection hidden="1"/>
    </xf>
    <xf numFmtId="170" fontId="1" fillId="0" borderId="22" xfId="2" applyNumberFormat="1" applyBorder="1" applyAlignment="1">
      <alignment horizontal="left"/>
    </xf>
    <xf numFmtId="169" fontId="1" fillId="0" borderId="22" xfId="2" applyNumberFormat="1" applyBorder="1" applyAlignment="1">
      <alignment horizontal="left"/>
    </xf>
    <xf numFmtId="169" fontId="3" fillId="0" borderId="22" xfId="2" applyNumberFormat="1" applyFont="1" applyBorder="1" applyAlignment="1" applyProtection="1">
      <alignment horizontal="left"/>
      <protection hidden="1"/>
    </xf>
    <xf numFmtId="169" fontId="1" fillId="0" borderId="23" xfId="2" applyNumberFormat="1" applyBorder="1" applyAlignment="1">
      <alignment horizontal="left"/>
    </xf>
    <xf numFmtId="169" fontId="1" fillId="0" borderId="24" xfId="2" applyNumberFormat="1" applyBorder="1" applyAlignment="1" applyProtection="1">
      <alignment horizontal="left"/>
      <protection hidden="1"/>
    </xf>
    <xf numFmtId="169" fontId="1" fillId="0" borderId="4" xfId="2" applyNumberFormat="1" applyBorder="1" applyAlignment="1" applyProtection="1">
      <alignment horizontal="left"/>
      <protection hidden="1"/>
    </xf>
    <xf numFmtId="44" fontId="1" fillId="0" borderId="3" xfId="2" applyBorder="1" applyAlignment="1">
      <alignment horizontal="left"/>
    </xf>
    <xf numFmtId="166" fontId="3" fillId="0" borderId="0" xfId="1" applyNumberFormat="1" applyFont="1" applyAlignment="1" applyProtection="1">
      <alignment horizontal="left"/>
      <protection locked="0" hidden="1"/>
    </xf>
    <xf numFmtId="171" fontId="3" fillId="0" borderId="0" xfId="1" applyNumberFormat="1" applyFont="1" applyAlignment="1" applyProtection="1">
      <alignment horizontal="left" vertical="center" wrapText="1"/>
      <protection locked="0"/>
    </xf>
    <xf numFmtId="43" fontId="3" fillId="0" borderId="19" xfId="1" applyFont="1" applyBorder="1" applyAlignment="1" applyProtection="1">
      <alignment horizontal="left" vertical="center" wrapText="1"/>
      <protection locked="0"/>
    </xf>
    <xf numFmtId="166" fontId="3" fillId="0" borderId="19" xfId="1" applyNumberFormat="1" applyFont="1" applyBorder="1" applyAlignment="1" applyProtection="1">
      <alignment horizontal="left"/>
      <protection locked="0" hidden="1"/>
    </xf>
    <xf numFmtId="169" fontId="1" fillId="0" borderId="19" xfId="2" applyNumberFormat="1" applyBorder="1" applyAlignment="1" applyProtection="1">
      <alignment horizontal="left"/>
      <protection hidden="1"/>
    </xf>
    <xf numFmtId="0" fontId="15" fillId="0" borderId="0" xfId="3" applyFont="1"/>
    <xf numFmtId="4" fontId="24" fillId="0" borderId="0" xfId="0" applyNumberFormat="1" applyFont="1"/>
    <xf numFmtId="172" fontId="0" fillId="0" borderId="0" xfId="0" applyNumberFormat="1"/>
    <xf numFmtId="10" fontId="15" fillId="0" borderId="0" xfId="3" applyNumberFormat="1" applyFont="1"/>
    <xf numFmtId="172" fontId="1" fillId="0" borderId="0" xfId="0" applyNumberFormat="1" applyFont="1"/>
    <xf numFmtId="0" fontId="0" fillId="3" borderId="0" xfId="0" applyFill="1"/>
    <xf numFmtId="0" fontId="0" fillId="3" borderId="15" xfId="0" applyFill="1" applyBorder="1"/>
    <xf numFmtId="44" fontId="3" fillId="0" borderId="5" xfId="2" applyFont="1" applyBorder="1" applyAlignment="1" applyProtection="1">
      <alignment horizontal="left"/>
      <protection hidden="1"/>
    </xf>
    <xf numFmtId="44" fontId="1" fillId="0" borderId="10" xfId="2" applyBorder="1" applyAlignment="1">
      <alignment horizontal="left"/>
    </xf>
    <xf numFmtId="0" fontId="1" fillId="3" borderId="0" xfId="0" applyFont="1" applyFill="1"/>
    <xf numFmtId="165" fontId="14" fillId="0" borderId="10" xfId="0" quotePrefix="1" applyNumberFormat="1" applyFont="1" applyBorder="1"/>
    <xf numFmtId="4" fontId="0" fillId="3" borderId="0" xfId="0" applyNumberFormat="1" applyFill="1"/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0" xfId="0" applyFont="1" applyAlignment="1">
      <alignment horizontal="center" wrapText="1"/>
    </xf>
    <xf numFmtId="0" fontId="3" fillId="6" borderId="1" xfId="0" applyFont="1" applyFill="1" applyBorder="1" applyAlignment="1">
      <alignment horizontal="center" vertical="center" wrapText="1"/>
    </xf>
    <xf numFmtId="43" fontId="9" fillId="6" borderId="0" xfId="1" applyFont="1" applyFill="1" applyAlignment="1">
      <alignment horizontal="center" wrapText="1"/>
    </xf>
    <xf numFmtId="0" fontId="9" fillId="6" borderId="0" xfId="0" applyFont="1" applyFill="1" applyAlignment="1">
      <alignment wrapText="1"/>
    </xf>
    <xf numFmtId="0" fontId="2" fillId="0" borderId="4" xfId="0" applyFont="1" applyBorder="1" applyAlignment="1">
      <alignment horizontal="right" wrapText="1"/>
    </xf>
    <xf numFmtId="0" fontId="1" fillId="0" borderId="5" xfId="0" applyFont="1" applyBorder="1" applyAlignment="1">
      <alignment horizontal="right"/>
    </xf>
    <xf numFmtId="0" fontId="10" fillId="0" borderId="4" xfId="0" applyFont="1" applyBorder="1" applyAlignment="1">
      <alignment horizontal="right" wrapText="1"/>
    </xf>
    <xf numFmtId="43" fontId="3" fillId="0" borderId="3" xfId="1" applyFont="1" applyBorder="1" applyAlignment="1">
      <alignment horizontal="center" wrapText="1"/>
    </xf>
    <xf numFmtId="0" fontId="0" fillId="0" borderId="3" xfId="0" applyBorder="1" applyAlignment="1">
      <alignment wrapText="1"/>
    </xf>
    <xf numFmtId="43" fontId="3" fillId="0" borderId="0" xfId="1" applyFont="1" applyAlignment="1">
      <alignment horizontal="center" wrapText="1"/>
    </xf>
    <xf numFmtId="0" fontId="21" fillId="0" borderId="11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</cellXfs>
  <cellStyles count="5">
    <cellStyle name="Comma" xfId="1" builtinId="3"/>
    <cellStyle name="Currency" xfId="2" builtinId="4"/>
    <cellStyle name="Normal" xfId="0" builtinId="0"/>
    <cellStyle name="Normal 2" xfId="3" xr:uid="{00000000-0005-0000-0000-000003000000}"/>
    <cellStyle name="Percent" xfId="4" builtinId="5"/>
  </cellStyles>
  <dxfs count="5">
    <dxf>
      <font>
        <color auto="1"/>
      </font>
      <fill>
        <patternFill>
          <bgColor theme="2" tint="-0.24994659260841701"/>
        </patternFill>
      </fill>
    </dxf>
    <dxf>
      <font>
        <color auto="1"/>
      </font>
      <fill>
        <patternFill>
          <bgColor theme="2" tint="-0.24994659260841701"/>
        </patternFill>
      </fill>
    </dxf>
    <dxf>
      <font>
        <color auto="1"/>
      </font>
      <fill>
        <patternFill>
          <bgColor theme="2" tint="-0.24994659260841701"/>
        </patternFill>
      </fill>
    </dxf>
    <dxf>
      <font>
        <color auto="1"/>
      </font>
      <fill>
        <patternFill>
          <bgColor theme="2" tint="-0.24994659260841701"/>
        </patternFill>
      </fill>
    </dxf>
    <dxf>
      <font>
        <color auto="1"/>
      </font>
      <fill>
        <patternFill>
          <bgColor theme="2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GBox"/>
</file>

<file path=xl/ctrlProps/ctrlProp2.xml><?xml version="1.0" encoding="utf-8"?>
<formControlPr xmlns="http://schemas.microsoft.com/office/spreadsheetml/2009/9/main" objectType="Radio" checked="Checked" firstButton="1" fmlaLink="worksheet_FY18!$H$5" lockText="1"/>
</file>

<file path=xl/ctrlProps/ctrlProp3.xml><?xml version="1.0" encoding="utf-8"?>
<formControlPr xmlns="http://schemas.microsoft.com/office/spreadsheetml/2009/9/main" objectType="GBox"/>
</file>

<file path=xl/ctrlProps/ctrlProp4.xml><?xml version="1.0" encoding="utf-8"?>
<formControlPr xmlns="http://schemas.microsoft.com/office/spreadsheetml/2009/9/main" objectType="Radio" lockText="1"/>
</file>

<file path=xl/ctrlProps/ctrlProp5.xml><?xml version="1.0" encoding="utf-8"?>
<formControlPr xmlns="http://schemas.microsoft.com/office/spreadsheetml/2009/9/main" objectType="Radio" lockText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CheckBox" checked="Checked" fmlaLink="worksheet_FY18!$H$7" lockText="1"/>
</file>

<file path=xl/ctrlProps/ctrlProp8.xml><?xml version="1.0" encoding="utf-8"?>
<formControlPr xmlns="http://schemas.microsoft.com/office/spreadsheetml/2009/9/main" objectType="CheckBox" fmlaLink="worksheet_FY18!$H$8" lockText="1"/>
</file>

<file path=xl/ctrlProps/ctrlProp9.xml><?xml version="1.0" encoding="utf-8"?>
<formControlPr xmlns="http://schemas.microsoft.com/office/spreadsheetml/2009/9/main" objectType="Drop" dropStyle="combo" dx="20" fmlaLink="agvalues!$E$2" fmlaRange="agvalues!$B$2:$C$100" noThreeD="1" sel="16" val="33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5</xdr:row>
          <xdr:rowOff>9525</xdr:rowOff>
        </xdr:from>
        <xdr:to>
          <xdr:col>8</xdr:col>
          <xdr:colOff>790575</xdr:colOff>
          <xdr:row>9</xdr:row>
          <xdr:rowOff>104775</xdr:rowOff>
        </xdr:to>
        <xdr:sp macro="" textlink="">
          <xdr:nvSpPr>
            <xdr:cNvPr id="1049" name="Group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7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0</xdr:rowOff>
        </xdr:from>
        <xdr:to>
          <xdr:col>2</xdr:col>
          <xdr:colOff>571500</xdr:colOff>
          <xdr:row>7</xdr:row>
          <xdr:rowOff>66675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7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Residential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5</xdr:row>
          <xdr:rowOff>0</xdr:rowOff>
        </xdr:from>
        <xdr:to>
          <xdr:col>2</xdr:col>
          <xdr:colOff>981075</xdr:colOff>
          <xdr:row>11</xdr:row>
          <xdr:rowOff>123825</xdr:rowOff>
        </xdr:to>
        <xdr:sp macro="" textlink="">
          <xdr:nvSpPr>
            <xdr:cNvPr id="1032" name="Group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7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Select your property type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7</xdr:row>
          <xdr:rowOff>9525</xdr:rowOff>
        </xdr:from>
        <xdr:to>
          <xdr:col>2</xdr:col>
          <xdr:colOff>714375</xdr:colOff>
          <xdr:row>9</xdr:row>
          <xdr:rowOff>28575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7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Commercial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8</xdr:row>
          <xdr:rowOff>123825</xdr:rowOff>
        </xdr:from>
        <xdr:to>
          <xdr:col>2</xdr:col>
          <xdr:colOff>390525</xdr:colOff>
          <xdr:row>10</xdr:row>
          <xdr:rowOff>47625</xdr:rowOff>
        </xdr:to>
        <xdr:sp macro="" textlink="">
          <xdr:nvSpPr>
            <xdr:cNvPr id="1040" name="Option Butto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7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Agricultural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1552575</xdr:colOff>
          <xdr:row>4</xdr:row>
          <xdr:rowOff>161925</xdr:rowOff>
        </xdr:from>
        <xdr:to>
          <xdr:col>3</xdr:col>
          <xdr:colOff>714375</xdr:colOff>
          <xdr:row>12</xdr:row>
          <xdr:rowOff>38100</xdr:rowOff>
        </xdr:to>
        <xdr:sp macro="" textlink="">
          <xdr:nvSpPr>
            <xdr:cNvPr id="1041" name="Group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7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1676400</xdr:colOff>
          <xdr:row>8</xdr:row>
          <xdr:rowOff>47625</xdr:rowOff>
        </xdr:from>
        <xdr:to>
          <xdr:col>3</xdr:col>
          <xdr:colOff>428625</xdr:colOff>
          <xdr:row>9</xdr:row>
          <xdr:rowOff>104775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7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Homestead Credit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1666875</xdr:colOff>
          <xdr:row>9</xdr:row>
          <xdr:rowOff>66675</xdr:rowOff>
        </xdr:from>
        <xdr:to>
          <xdr:col>3</xdr:col>
          <xdr:colOff>466725</xdr:colOff>
          <xdr:row>11</xdr:row>
          <xdr:rowOff>9525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7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Military Service Credit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523875</xdr:colOff>
          <xdr:row>7</xdr:row>
          <xdr:rowOff>142875</xdr:rowOff>
        </xdr:from>
        <xdr:to>
          <xdr:col>8</xdr:col>
          <xdr:colOff>504825</xdr:colOff>
          <xdr:row>8</xdr:row>
          <xdr:rowOff>142875</xdr:rowOff>
        </xdr:to>
        <xdr:sp macro="" textlink="">
          <xdr:nvSpPr>
            <xdr:cNvPr id="1048" name="Drop Down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7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407671</xdr:colOff>
      <xdr:row>5</xdr:row>
      <xdr:rowOff>38100</xdr:rowOff>
    </xdr:from>
    <xdr:to>
      <xdr:col>9</xdr:col>
      <xdr:colOff>15240</xdr:colOff>
      <xdr:row>7</xdr:row>
      <xdr:rowOff>38100</xdr:rowOff>
    </xdr:to>
    <xdr:sp macro="" textlink="">
      <xdr:nvSpPr>
        <xdr:cNvPr id="1050" name="Text Box 26">
          <a:extLst>
            <a:ext uri="{FF2B5EF4-FFF2-40B4-BE49-F238E27FC236}">
              <a16:creationId xmlns:a16="http://schemas.microsoft.com/office/drawing/2014/main" id="{00000000-0008-0000-0700-00001A040000}"/>
            </a:ext>
          </a:extLst>
        </xdr:cNvPr>
        <xdr:cNvSpPr txBox="1">
          <a:spLocks noChangeArrowheads="1"/>
        </xdr:cNvSpPr>
      </xdr:nvSpPr>
      <xdr:spPr bwMode="auto">
        <a:xfrm>
          <a:off x="5048251" y="960120"/>
          <a:ext cx="1680209" cy="3352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If your property is agricultural, please select your county:</a:t>
          </a:r>
        </a:p>
      </xdr:txBody>
    </xdr:sp>
    <xdr:clientData/>
  </xdr:twoCellAnchor>
  <xdr:twoCellAnchor>
    <xdr:from>
      <xdr:col>2</xdr:col>
      <xdr:colOff>1590675</xdr:colOff>
      <xdr:row>5</xdr:row>
      <xdr:rowOff>76200</xdr:rowOff>
    </xdr:from>
    <xdr:to>
      <xdr:col>3</xdr:col>
      <xdr:colOff>693420</xdr:colOff>
      <xdr:row>7</xdr:row>
      <xdr:rowOff>180975</xdr:rowOff>
    </xdr:to>
    <xdr:sp macro="" textlink="">
      <xdr:nvSpPr>
        <xdr:cNvPr id="1051" name="Text Box 27">
          <a:extLst>
            <a:ext uri="{FF2B5EF4-FFF2-40B4-BE49-F238E27FC236}">
              <a16:creationId xmlns:a16="http://schemas.microsoft.com/office/drawing/2014/main" id="{00000000-0008-0000-0700-00001B040000}"/>
            </a:ext>
          </a:extLst>
        </xdr:cNvPr>
        <xdr:cNvSpPr txBox="1">
          <a:spLocks noChangeArrowheads="1"/>
        </xdr:cNvSpPr>
      </xdr:nvSpPr>
      <xdr:spPr bwMode="auto">
        <a:xfrm>
          <a:off x="2345055" y="998220"/>
          <a:ext cx="1609725" cy="44005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If your property is Residential, do you receive the following credits?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omments" Target="../comments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88199-3414-4B66-93D9-73FD26944D7F}">
  <dimension ref="A1:J27"/>
  <sheetViews>
    <sheetView workbookViewId="0">
      <selection activeCell="E9" sqref="E9"/>
    </sheetView>
  </sheetViews>
  <sheetFormatPr defaultColWidth="8.85546875" defaultRowHeight="12.75"/>
  <cols>
    <col min="2" max="2" width="33" bestFit="1" customWidth="1"/>
    <col min="3" max="3" width="13.85546875" bestFit="1" customWidth="1"/>
    <col min="4" max="4" width="12.28515625" bestFit="1" customWidth="1"/>
    <col min="5" max="5" width="15" customWidth="1"/>
    <col min="6" max="6" width="17" customWidth="1"/>
    <col min="7" max="7" width="19" bestFit="1" customWidth="1"/>
  </cols>
  <sheetData>
    <row r="1" spans="1:10">
      <c r="B1" s="28" t="s">
        <v>192</v>
      </c>
    </row>
    <row r="4" spans="1:10">
      <c r="C4" t="s">
        <v>0</v>
      </c>
    </row>
    <row r="5" spans="1:10">
      <c r="C5">
        <v>1</v>
      </c>
      <c r="D5">
        <v>2</v>
      </c>
      <c r="E5">
        <v>3</v>
      </c>
      <c r="F5">
        <v>4</v>
      </c>
      <c r="G5" s="121" t="s">
        <v>14</v>
      </c>
      <c r="H5" s="121">
        <f>worksheet_FY18!H5</f>
        <v>1</v>
      </c>
      <c r="I5" s="121"/>
      <c r="J5" s="121"/>
    </row>
    <row r="6" spans="1:10">
      <c r="C6" t="s">
        <v>1</v>
      </c>
      <c r="D6" t="s">
        <v>2</v>
      </c>
      <c r="E6" t="s">
        <v>3</v>
      </c>
      <c r="F6" s="28" t="s">
        <v>184</v>
      </c>
      <c r="G6" s="121" t="s">
        <v>15</v>
      </c>
      <c r="H6" s="121"/>
      <c r="I6" s="121"/>
      <c r="J6" s="121"/>
    </row>
    <row r="7" spans="1:10">
      <c r="A7">
        <v>1</v>
      </c>
      <c r="B7" t="s">
        <v>13</v>
      </c>
      <c r="C7">
        <f>LevyCalculator!I17</f>
        <v>15.35</v>
      </c>
      <c r="D7">
        <f>C7</f>
        <v>15.35</v>
      </c>
      <c r="E7">
        <f>C7</f>
        <v>15.35</v>
      </c>
      <c r="F7">
        <f>C7</f>
        <v>15.35</v>
      </c>
      <c r="G7" s="121" t="s">
        <v>16</v>
      </c>
      <c r="H7" s="121" t="b">
        <f>worksheet_FY18!H7</f>
        <v>1</v>
      </c>
      <c r="I7" s="121">
        <f>IF(H7=TRUE,1,0)</f>
        <v>1</v>
      </c>
      <c r="J7" s="122">
        <f>IF(H5=1,I7,0)</f>
        <v>1</v>
      </c>
    </row>
    <row r="8" spans="1:10">
      <c r="A8">
        <v>2</v>
      </c>
      <c r="B8" t="s">
        <v>4</v>
      </c>
      <c r="C8" s="13">
        <v>0.56981000000000004</v>
      </c>
      <c r="D8" s="13">
        <v>0.9</v>
      </c>
      <c r="E8" s="13">
        <v>0.56132400000000005</v>
      </c>
      <c r="F8" s="13">
        <v>0.75</v>
      </c>
      <c r="G8" s="121" t="s">
        <v>17</v>
      </c>
      <c r="H8" s="121" t="b">
        <f>worksheet_FY18!H8</f>
        <v>0</v>
      </c>
      <c r="I8" s="121">
        <f>IF(H8=TRUE,2,0)</f>
        <v>0</v>
      </c>
      <c r="J8" s="122">
        <f>IF(H5=1,I8,0)</f>
        <v>0</v>
      </c>
    </row>
    <row r="9" spans="1:10">
      <c r="A9">
        <v>3</v>
      </c>
      <c r="B9" t="s">
        <v>5</v>
      </c>
      <c r="C9" s="1">
        <f>LevyCalculator!I15</f>
        <v>1000</v>
      </c>
      <c r="D9" s="1">
        <f>C9</f>
        <v>1000</v>
      </c>
      <c r="E9" s="1">
        <f>agvalues!I2</f>
        <v>18166.914746262002</v>
      </c>
      <c r="F9" s="15">
        <f>D9</f>
        <v>1000</v>
      </c>
      <c r="G9" s="121" t="s">
        <v>18</v>
      </c>
      <c r="H9" s="121" t="b">
        <f>IF(H8=TRUE,IF(H7=TRUE,TRUE,FALSE),FALSE)</f>
        <v>0</v>
      </c>
      <c r="I9" s="121">
        <f>IF(H9=TRUE,2,0)</f>
        <v>0</v>
      </c>
      <c r="J9" s="122">
        <f>IF(H5=1,I9,0)</f>
        <v>0</v>
      </c>
    </row>
    <row r="10" spans="1:10">
      <c r="A10">
        <v>4</v>
      </c>
      <c r="B10" t="s">
        <v>6</v>
      </c>
      <c r="C10" s="1">
        <v>4850</v>
      </c>
      <c r="G10" s="121"/>
      <c r="H10" s="121"/>
      <c r="I10" s="121">
        <f>SUM(I7:I9)</f>
        <v>1</v>
      </c>
      <c r="J10" s="122">
        <f>IF(H5=1,I10,0)</f>
        <v>1</v>
      </c>
    </row>
    <row r="11" spans="1:10">
      <c r="A11">
        <v>5</v>
      </c>
      <c r="B11" t="s">
        <v>7</v>
      </c>
      <c r="C11" s="1">
        <v>1850</v>
      </c>
    </row>
    <row r="12" spans="1:10">
      <c r="A12">
        <v>6</v>
      </c>
      <c r="B12" t="s">
        <v>8</v>
      </c>
      <c r="C12" s="1">
        <f>C8*C9</f>
        <v>569.81000000000006</v>
      </c>
      <c r="D12" s="1">
        <f>D8*D9</f>
        <v>900</v>
      </c>
      <c r="E12" s="15">
        <f>agvalues!I2</f>
        <v>18166.914746262002</v>
      </c>
      <c r="F12" s="1">
        <f>F8*F9</f>
        <v>750</v>
      </c>
    </row>
    <row r="13" spans="1:10">
      <c r="A13">
        <v>7</v>
      </c>
      <c r="B13" t="s">
        <v>9</v>
      </c>
      <c r="C13" s="1">
        <f>(C9*C8)-C10</f>
        <v>-4280.1899999999996</v>
      </c>
    </row>
    <row r="14" spans="1:10">
      <c r="A14">
        <v>8</v>
      </c>
      <c r="B14" t="s">
        <v>19</v>
      </c>
      <c r="C14" s="1">
        <f>(C9*C8)-C11</f>
        <v>-1280.19</v>
      </c>
    </row>
    <row r="15" spans="1:10">
      <c r="A15">
        <v>9</v>
      </c>
      <c r="B15" t="s">
        <v>10</v>
      </c>
      <c r="C15" s="1">
        <f>(C9*C8)-C10-C11</f>
        <v>-6130.19</v>
      </c>
    </row>
    <row r="16" spans="1:10">
      <c r="A16">
        <v>10</v>
      </c>
      <c r="B16" s="28" t="s">
        <v>138</v>
      </c>
      <c r="C16" s="1">
        <f>C$7*C12/1000</f>
        <v>8.7465834999999998</v>
      </c>
    </row>
    <row r="17" spans="1:5">
      <c r="A17">
        <v>11</v>
      </c>
      <c r="B17" t="s">
        <v>11</v>
      </c>
      <c r="C17" s="1">
        <f>C$7*C13/1000</f>
        <v>-65.700916499999991</v>
      </c>
    </row>
    <row r="18" spans="1:5">
      <c r="A18">
        <v>12</v>
      </c>
      <c r="B18" t="s">
        <v>20</v>
      </c>
      <c r="C18" s="1">
        <f>C14*C7/1000</f>
        <v>-19.650916500000001</v>
      </c>
    </row>
    <row r="19" spans="1:5">
      <c r="A19">
        <v>13</v>
      </c>
      <c r="B19" t="s">
        <v>12</v>
      </c>
      <c r="C19" s="1">
        <f>C$7*C15/1000</f>
        <v>-94.098416499999999</v>
      </c>
    </row>
    <row r="20" spans="1:5">
      <c r="B20" t="s">
        <v>21</v>
      </c>
    </row>
    <row r="21" spans="1:5">
      <c r="D21" s="1"/>
      <c r="E21" s="1"/>
    </row>
    <row r="22" spans="1:5">
      <c r="B22" t="s">
        <v>22</v>
      </c>
      <c r="C22" s="1">
        <f>IF(I10=1,C17,IF(I10=2,C18,IF(I10=5,C19,C16)))</f>
        <v>-65.700916499999991</v>
      </c>
      <c r="D22" s="1">
        <f>(D9*D8)*D7/1000</f>
        <v>13.815</v>
      </c>
      <c r="E22" s="1">
        <f>(E9*E8)*E7/1000</f>
        <v>156.53201263402235</v>
      </c>
    </row>
    <row r="24" spans="1:5">
      <c r="B24" t="s">
        <v>23</v>
      </c>
      <c r="C24" s="1">
        <f>HLOOKUP(H5,C5:E22,18,FALSE)</f>
        <v>-65.700916499999991</v>
      </c>
    </row>
    <row r="27" spans="1:5">
      <c r="B27" s="28" t="s">
        <v>153</v>
      </c>
    </row>
  </sheetData>
  <pageMargins left="0.75" right="0.75" top="1" bottom="1" header="0.5" footer="0.5"/>
  <pageSetup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L104"/>
  <sheetViews>
    <sheetView workbookViewId="0">
      <selection activeCell="B1" sqref="B1:L1048576"/>
    </sheetView>
  </sheetViews>
  <sheetFormatPr defaultColWidth="8.85546875" defaultRowHeight="12.75"/>
  <cols>
    <col min="4" max="4" width="22.42578125" bestFit="1" customWidth="1"/>
    <col min="6" max="6" width="16.42578125" bestFit="1" customWidth="1"/>
    <col min="7" max="7" width="8.140625" bestFit="1" customWidth="1"/>
  </cols>
  <sheetData>
    <row r="2" spans="2:12">
      <c r="B2" t="s">
        <v>142</v>
      </c>
      <c r="D2" s="28" t="s">
        <v>190</v>
      </c>
      <c r="F2" s="28" t="s">
        <v>189</v>
      </c>
      <c r="K2" s="28" t="s">
        <v>183</v>
      </c>
    </row>
    <row r="3" spans="2:12">
      <c r="B3" t="s">
        <v>28</v>
      </c>
      <c r="D3" s="26">
        <f>VLOOKUP(B3,K:L,2,FALSE)</f>
        <v>1502.14</v>
      </c>
      <c r="E3" s="26"/>
      <c r="G3" s="26"/>
      <c r="K3" t="s">
        <v>28</v>
      </c>
      <c r="L3" s="26">
        <v>1502.14</v>
      </c>
    </row>
    <row r="4" spans="2:12">
      <c r="B4" t="s">
        <v>29</v>
      </c>
      <c r="D4" s="26">
        <f t="shared" ref="D4:D67" si="0">VLOOKUP(B4,K:L,2,FALSE)</f>
        <v>1435.86</v>
      </c>
      <c r="E4" s="26"/>
      <c r="G4" s="26"/>
      <c r="K4" t="s">
        <v>29</v>
      </c>
      <c r="L4" s="26">
        <v>1435.86</v>
      </c>
    </row>
    <row r="5" spans="2:12">
      <c r="B5" t="s">
        <v>30</v>
      </c>
      <c r="D5" s="26">
        <f t="shared" si="0"/>
        <v>1525.86</v>
      </c>
      <c r="E5" s="26"/>
      <c r="G5" s="26"/>
      <c r="K5" t="s">
        <v>30</v>
      </c>
      <c r="L5" s="26">
        <v>1525.86</v>
      </c>
    </row>
    <row r="6" spans="2:12">
      <c r="B6" t="s">
        <v>31</v>
      </c>
      <c r="D6" s="26">
        <f t="shared" si="0"/>
        <v>667.71</v>
      </c>
      <c r="G6" s="26"/>
      <c r="K6" t="s">
        <v>31</v>
      </c>
      <c r="L6" s="26">
        <v>667.71</v>
      </c>
    </row>
    <row r="7" spans="2:12">
      <c r="B7" t="s">
        <v>32</v>
      </c>
      <c r="D7" s="26">
        <f t="shared" si="0"/>
        <v>1816.86</v>
      </c>
      <c r="E7" s="26"/>
      <c r="G7" s="26"/>
      <c r="K7" t="s">
        <v>32</v>
      </c>
      <c r="L7" s="26">
        <v>1816.86</v>
      </c>
    </row>
    <row r="8" spans="2:12">
      <c r="B8" t="s">
        <v>33</v>
      </c>
      <c r="D8" s="26">
        <f t="shared" si="0"/>
        <v>2221</v>
      </c>
      <c r="E8" s="26"/>
      <c r="G8" s="26"/>
      <c r="K8" t="s">
        <v>33</v>
      </c>
      <c r="L8" s="26">
        <v>2221</v>
      </c>
    </row>
    <row r="9" spans="2:12">
      <c r="B9" t="s">
        <v>34</v>
      </c>
      <c r="D9" s="26">
        <f t="shared" si="0"/>
        <v>2131.4299999999998</v>
      </c>
      <c r="G9" s="26"/>
      <c r="K9" t="s">
        <v>34</v>
      </c>
      <c r="L9" s="26">
        <v>2131.4299999999998</v>
      </c>
    </row>
    <row r="10" spans="2:12">
      <c r="B10" t="s">
        <v>35</v>
      </c>
      <c r="D10" s="26">
        <f t="shared" si="0"/>
        <v>1984.29</v>
      </c>
      <c r="E10" s="26"/>
      <c r="G10" s="26"/>
      <c r="K10" t="s">
        <v>35</v>
      </c>
      <c r="L10" s="26">
        <v>1984.29</v>
      </c>
    </row>
    <row r="11" spans="2:12">
      <c r="B11" t="s">
        <v>36</v>
      </c>
      <c r="D11" s="26">
        <f t="shared" si="0"/>
        <v>2094.4299999999998</v>
      </c>
      <c r="E11" s="26"/>
      <c r="K11" t="s">
        <v>36</v>
      </c>
      <c r="L11" s="26">
        <v>2094.4299999999998</v>
      </c>
    </row>
    <row r="12" spans="2:12">
      <c r="B12" t="s">
        <v>37</v>
      </c>
      <c r="D12" s="26">
        <f t="shared" si="0"/>
        <v>2104</v>
      </c>
      <c r="E12" s="26"/>
      <c r="G12" s="26"/>
      <c r="K12" t="s">
        <v>37</v>
      </c>
      <c r="L12" s="26">
        <v>2104</v>
      </c>
    </row>
    <row r="13" spans="2:12">
      <c r="B13" t="s">
        <v>38</v>
      </c>
      <c r="D13" s="26">
        <f t="shared" si="0"/>
        <v>2092.4299999999998</v>
      </c>
      <c r="G13" s="26"/>
      <c r="K13" t="s">
        <v>38</v>
      </c>
      <c r="L13" s="26">
        <v>2092.4299999999998</v>
      </c>
    </row>
    <row r="14" spans="2:12">
      <c r="B14" t="s">
        <v>39</v>
      </c>
      <c r="D14" s="26">
        <f t="shared" si="0"/>
        <v>1927.86</v>
      </c>
      <c r="E14" s="26"/>
      <c r="G14" s="26"/>
      <c r="K14" t="s">
        <v>39</v>
      </c>
      <c r="L14" s="26">
        <v>1927.86</v>
      </c>
    </row>
    <row r="15" spans="2:12">
      <c r="B15" t="s">
        <v>40</v>
      </c>
      <c r="D15" s="26">
        <f t="shared" si="0"/>
        <v>1956.29</v>
      </c>
      <c r="E15" s="26"/>
      <c r="G15" s="26"/>
      <c r="K15" t="s">
        <v>40</v>
      </c>
      <c r="L15" s="26">
        <v>1956.29</v>
      </c>
    </row>
    <row r="16" spans="2:12">
      <c r="B16" t="s">
        <v>41</v>
      </c>
      <c r="D16" s="26">
        <f t="shared" si="0"/>
        <v>2032.71</v>
      </c>
      <c r="E16" s="26"/>
      <c r="G16" s="26"/>
      <c r="K16" t="s">
        <v>41</v>
      </c>
      <c r="L16" s="26">
        <v>2032.71</v>
      </c>
    </row>
    <row r="17" spans="2:12">
      <c r="B17" t="s">
        <v>42</v>
      </c>
      <c r="D17" s="26">
        <f t="shared" si="0"/>
        <v>1938.71</v>
      </c>
      <c r="E17" s="26"/>
      <c r="G17" s="26"/>
      <c r="K17" t="s">
        <v>42</v>
      </c>
      <c r="L17" s="26">
        <v>1938.71</v>
      </c>
    </row>
    <row r="18" spans="2:12">
      <c r="B18" t="s">
        <v>43</v>
      </c>
      <c r="D18" s="26">
        <f t="shared" si="0"/>
        <v>2408.29</v>
      </c>
      <c r="E18" s="26"/>
      <c r="G18" s="26"/>
      <c r="K18" t="s">
        <v>43</v>
      </c>
      <c r="L18" s="26">
        <v>2408.29</v>
      </c>
    </row>
    <row r="19" spans="2:12">
      <c r="B19" t="s">
        <v>44</v>
      </c>
      <c r="D19" s="26">
        <f t="shared" si="0"/>
        <v>1900.71</v>
      </c>
      <c r="G19" s="26"/>
      <c r="K19" t="s">
        <v>44</v>
      </c>
      <c r="L19" s="26">
        <v>1900.71</v>
      </c>
    </row>
    <row r="20" spans="2:12">
      <c r="B20" t="s">
        <v>45</v>
      </c>
      <c r="D20" s="26">
        <f t="shared" si="0"/>
        <v>2412.71</v>
      </c>
      <c r="E20" s="26"/>
      <c r="K20" t="s">
        <v>45</v>
      </c>
      <c r="L20" s="26">
        <v>2412.71</v>
      </c>
    </row>
    <row r="21" spans="2:12">
      <c r="B21" t="s">
        <v>46</v>
      </c>
      <c r="D21" s="26">
        <f t="shared" si="0"/>
        <v>2110.4299999999998</v>
      </c>
      <c r="E21" s="26"/>
      <c r="G21" s="26"/>
      <c r="K21" t="s">
        <v>46</v>
      </c>
      <c r="L21" s="26">
        <v>2110.4299999999998</v>
      </c>
    </row>
    <row r="22" spans="2:12">
      <c r="B22" t="s">
        <v>47</v>
      </c>
      <c r="D22" s="26">
        <f t="shared" si="0"/>
        <v>835.86</v>
      </c>
      <c r="G22" s="26"/>
      <c r="K22" t="s">
        <v>47</v>
      </c>
      <c r="L22" s="26">
        <v>835.86</v>
      </c>
    </row>
    <row r="23" spans="2:12">
      <c r="B23" t="s">
        <v>48</v>
      </c>
      <c r="D23" s="26">
        <f t="shared" si="0"/>
        <v>2291.71</v>
      </c>
      <c r="E23" s="26"/>
      <c r="G23" s="26"/>
      <c r="K23" t="s">
        <v>48</v>
      </c>
      <c r="L23" s="26">
        <v>2291.71</v>
      </c>
    </row>
    <row r="24" spans="2:12">
      <c r="B24" t="s">
        <v>49</v>
      </c>
      <c r="D24" s="26">
        <f t="shared" si="0"/>
        <v>1758.29</v>
      </c>
      <c r="E24" s="26"/>
      <c r="G24" s="26"/>
      <c r="K24" t="s">
        <v>49</v>
      </c>
      <c r="L24" s="26">
        <v>1758.29</v>
      </c>
    </row>
    <row r="25" spans="2:12">
      <c r="B25" t="s">
        <v>50</v>
      </c>
      <c r="D25" s="26">
        <f t="shared" si="0"/>
        <v>2334</v>
      </c>
      <c r="E25" s="26"/>
      <c r="G25" s="26"/>
      <c r="K25" t="s">
        <v>50</v>
      </c>
      <c r="L25" s="26">
        <v>2334</v>
      </c>
    </row>
    <row r="26" spans="2:12">
      <c r="B26" t="s">
        <v>51</v>
      </c>
      <c r="D26" s="26">
        <f t="shared" si="0"/>
        <v>2047.71</v>
      </c>
      <c r="E26" s="26"/>
      <c r="G26" s="26"/>
      <c r="K26" s="28" t="s">
        <v>51</v>
      </c>
      <c r="L26" s="26">
        <v>2047.71</v>
      </c>
    </row>
    <row r="27" spans="2:12">
      <c r="B27" t="s">
        <v>52</v>
      </c>
      <c r="D27" s="26">
        <f t="shared" si="0"/>
        <v>1739.57</v>
      </c>
      <c r="E27" s="26"/>
      <c r="G27" s="26"/>
      <c r="K27" t="s">
        <v>52</v>
      </c>
      <c r="L27" s="26">
        <v>1739.57</v>
      </c>
    </row>
    <row r="28" spans="2:12">
      <c r="B28" t="s">
        <v>53</v>
      </c>
      <c r="D28" s="26">
        <f t="shared" si="0"/>
        <v>867</v>
      </c>
      <c r="G28" s="26"/>
      <c r="K28" t="s">
        <v>53</v>
      </c>
      <c r="L28" s="26">
        <v>867</v>
      </c>
    </row>
    <row r="29" spans="2:12">
      <c r="B29" t="s">
        <v>54</v>
      </c>
      <c r="D29" s="26">
        <f t="shared" si="0"/>
        <v>660.71</v>
      </c>
      <c r="G29" s="26"/>
      <c r="K29" t="s">
        <v>54</v>
      </c>
      <c r="L29" s="26">
        <v>660.71</v>
      </c>
    </row>
    <row r="30" spans="2:12">
      <c r="B30" t="s">
        <v>55</v>
      </c>
      <c r="D30" s="26">
        <f t="shared" si="0"/>
        <v>2160.29</v>
      </c>
      <c r="E30" s="26"/>
      <c r="G30" s="26"/>
      <c r="K30" t="s">
        <v>55</v>
      </c>
      <c r="L30" s="26">
        <v>2160.29</v>
      </c>
    </row>
    <row r="31" spans="2:12">
      <c r="B31" t="s">
        <v>56</v>
      </c>
      <c r="D31" s="26">
        <f t="shared" si="0"/>
        <v>1958.14</v>
      </c>
      <c r="G31" s="26"/>
      <c r="K31" t="s">
        <v>56</v>
      </c>
      <c r="L31" s="26">
        <v>1958.14</v>
      </c>
    </row>
    <row r="32" spans="2:12">
      <c r="B32" t="s">
        <v>57</v>
      </c>
      <c r="D32" s="26">
        <f t="shared" si="0"/>
        <v>2075.29</v>
      </c>
      <c r="E32" s="26"/>
      <c r="K32" t="s">
        <v>57</v>
      </c>
      <c r="L32" s="26">
        <v>2075.29</v>
      </c>
    </row>
    <row r="33" spans="2:12">
      <c r="B33" t="s">
        <v>58</v>
      </c>
      <c r="D33" s="26">
        <f t="shared" si="0"/>
        <v>2101.14</v>
      </c>
      <c r="E33" s="26"/>
      <c r="G33" s="26"/>
      <c r="K33" t="s">
        <v>58</v>
      </c>
      <c r="L33" s="26">
        <v>2101.14</v>
      </c>
    </row>
    <row r="34" spans="2:12">
      <c r="B34" t="s">
        <v>59</v>
      </c>
      <c r="D34" s="26">
        <f t="shared" si="0"/>
        <v>2087.71</v>
      </c>
      <c r="E34" s="26"/>
      <c r="G34" s="26"/>
      <c r="K34" t="s">
        <v>59</v>
      </c>
      <c r="L34" s="26">
        <v>2087.71</v>
      </c>
    </row>
    <row r="35" spans="2:12">
      <c r="B35" t="s">
        <v>60</v>
      </c>
      <c r="D35" s="26">
        <f t="shared" si="0"/>
        <v>2172.5700000000002</v>
      </c>
      <c r="E35" s="26"/>
      <c r="G35" s="26"/>
      <c r="K35" t="s">
        <v>60</v>
      </c>
      <c r="L35" s="26">
        <v>2172.5700000000002</v>
      </c>
    </row>
    <row r="36" spans="2:12">
      <c r="B36" t="s">
        <v>61</v>
      </c>
      <c r="D36" s="26">
        <f t="shared" si="0"/>
        <v>1936.86</v>
      </c>
      <c r="E36" s="26"/>
      <c r="G36" s="26"/>
      <c r="K36" t="s">
        <v>61</v>
      </c>
      <c r="L36" s="26">
        <v>1936.86</v>
      </c>
    </row>
    <row r="37" spans="2:12">
      <c r="B37" t="s">
        <v>62</v>
      </c>
      <c r="D37" s="26">
        <f t="shared" si="0"/>
        <v>2171.86</v>
      </c>
      <c r="E37" s="26"/>
      <c r="G37" s="26"/>
      <c r="K37" t="s">
        <v>62</v>
      </c>
      <c r="L37" s="26">
        <v>2171.86</v>
      </c>
    </row>
    <row r="38" spans="2:12">
      <c r="B38" t="s">
        <v>63</v>
      </c>
      <c r="D38" s="26">
        <f t="shared" si="0"/>
        <v>1939.29</v>
      </c>
      <c r="E38" s="26"/>
      <c r="G38" s="26"/>
      <c r="K38" t="s">
        <v>63</v>
      </c>
      <c r="L38" s="26">
        <v>1939.29</v>
      </c>
    </row>
    <row r="39" spans="2:12">
      <c r="B39" t="s">
        <v>64</v>
      </c>
      <c r="D39" s="26">
        <f t="shared" si="0"/>
        <v>1890.29</v>
      </c>
      <c r="E39" s="26"/>
      <c r="G39" s="26"/>
      <c r="K39" t="s">
        <v>64</v>
      </c>
      <c r="L39" s="26">
        <v>1890.29</v>
      </c>
    </row>
    <row r="40" spans="2:12">
      <c r="B40" t="s">
        <v>65</v>
      </c>
      <c r="D40" s="26">
        <f t="shared" si="0"/>
        <v>2390.14</v>
      </c>
      <c r="E40" s="26"/>
      <c r="G40" s="26"/>
      <c r="K40" t="s">
        <v>65</v>
      </c>
      <c r="L40" s="26">
        <v>2390.14</v>
      </c>
    </row>
    <row r="41" spans="2:12">
      <c r="B41" t="s">
        <v>66</v>
      </c>
      <c r="D41" s="26">
        <f t="shared" si="0"/>
        <v>1374.43</v>
      </c>
      <c r="E41" s="26"/>
      <c r="G41" s="26"/>
      <c r="K41" t="s">
        <v>66</v>
      </c>
      <c r="L41" s="26">
        <v>1374.43</v>
      </c>
    </row>
    <row r="42" spans="2:12">
      <c r="B42" t="s">
        <v>67</v>
      </c>
      <c r="D42" s="26">
        <f t="shared" si="0"/>
        <v>2022.71</v>
      </c>
      <c r="E42" s="26"/>
      <c r="G42" s="26"/>
      <c r="K42" t="s">
        <v>67</v>
      </c>
      <c r="L42" s="26">
        <v>2022.71</v>
      </c>
    </row>
    <row r="43" spans="2:12">
      <c r="B43" t="s">
        <v>68</v>
      </c>
      <c r="D43" s="26">
        <f t="shared" si="0"/>
        <v>2096.86</v>
      </c>
      <c r="E43" s="26"/>
      <c r="G43" s="26"/>
      <c r="K43" t="s">
        <v>68</v>
      </c>
      <c r="L43" s="26">
        <v>2096.86</v>
      </c>
    </row>
    <row r="44" spans="2:12">
      <c r="B44" t="s">
        <v>69</v>
      </c>
      <c r="D44" s="26">
        <f t="shared" si="0"/>
        <v>2072</v>
      </c>
      <c r="E44" s="26"/>
      <c r="G44" s="26"/>
      <c r="K44" t="s">
        <v>69</v>
      </c>
      <c r="L44" s="26">
        <v>2072</v>
      </c>
    </row>
    <row r="45" spans="2:12">
      <c r="B45" t="s">
        <v>70</v>
      </c>
      <c r="D45" s="26">
        <f t="shared" si="0"/>
        <v>1896.29</v>
      </c>
      <c r="E45" s="26"/>
      <c r="K45" t="s">
        <v>70</v>
      </c>
      <c r="L45" s="26">
        <v>1896.29</v>
      </c>
    </row>
    <row r="46" spans="2:12">
      <c r="B46" t="s">
        <v>71</v>
      </c>
      <c r="D46" s="26">
        <f t="shared" si="0"/>
        <v>1550.14</v>
      </c>
      <c r="E46" s="26"/>
      <c r="G46" s="26"/>
      <c r="K46" t="s">
        <v>71</v>
      </c>
      <c r="L46" s="26">
        <v>1550.14</v>
      </c>
    </row>
    <row r="47" spans="2:12">
      <c r="B47" t="s">
        <v>72</v>
      </c>
      <c r="D47" s="26">
        <f t="shared" si="0"/>
        <v>1895.86</v>
      </c>
      <c r="E47" s="26"/>
      <c r="G47" s="26"/>
      <c r="K47" t="s">
        <v>72</v>
      </c>
      <c r="L47" s="26">
        <v>1895.86</v>
      </c>
    </row>
    <row r="48" spans="2:12">
      <c r="B48" t="s">
        <v>73</v>
      </c>
      <c r="D48" s="26">
        <f t="shared" si="0"/>
        <v>2158</v>
      </c>
      <c r="E48" s="26"/>
      <c r="G48" s="26"/>
      <c r="K48" s="28" t="s">
        <v>73</v>
      </c>
      <c r="L48" s="26">
        <v>2158</v>
      </c>
    </row>
    <row r="49" spans="2:12">
      <c r="B49" t="s">
        <v>74</v>
      </c>
      <c r="D49" s="26">
        <f t="shared" si="0"/>
        <v>2392.71</v>
      </c>
      <c r="E49" s="26"/>
      <c r="G49" s="26"/>
      <c r="K49" t="s">
        <v>74</v>
      </c>
      <c r="L49" s="26">
        <v>2392.71</v>
      </c>
    </row>
    <row r="50" spans="2:12">
      <c r="B50" t="s">
        <v>75</v>
      </c>
      <c r="D50" s="26">
        <f t="shared" si="0"/>
        <v>1862</v>
      </c>
      <c r="E50" s="26"/>
      <c r="G50" s="26"/>
      <c r="K50" t="s">
        <v>75</v>
      </c>
      <c r="L50" s="26">
        <v>1862</v>
      </c>
    </row>
    <row r="51" spans="2:12">
      <c r="B51" t="s">
        <v>76</v>
      </c>
      <c r="D51" s="26">
        <f t="shared" si="0"/>
        <v>1897</v>
      </c>
      <c r="E51" s="26"/>
      <c r="G51" s="26"/>
      <c r="K51" t="s">
        <v>76</v>
      </c>
      <c r="L51" s="26">
        <v>1897</v>
      </c>
    </row>
    <row r="52" spans="2:12">
      <c r="B52" t="s">
        <v>77</v>
      </c>
      <c r="D52" s="26">
        <f t="shared" si="0"/>
        <v>1952.71</v>
      </c>
      <c r="E52" s="26"/>
      <c r="K52" t="s">
        <v>77</v>
      </c>
      <c r="L52" s="26">
        <v>1952.71</v>
      </c>
    </row>
    <row r="53" spans="2:12">
      <c r="B53" t="s">
        <v>78</v>
      </c>
      <c r="D53" s="26">
        <f t="shared" si="0"/>
        <v>1582.71</v>
      </c>
      <c r="K53" t="s">
        <v>78</v>
      </c>
      <c r="L53" s="26">
        <v>1582.71</v>
      </c>
    </row>
    <row r="54" spans="2:12">
      <c r="B54" t="s">
        <v>79</v>
      </c>
      <c r="D54" s="26">
        <f t="shared" si="0"/>
        <v>1798.29</v>
      </c>
      <c r="K54" t="s">
        <v>79</v>
      </c>
      <c r="L54" s="26">
        <v>1798.29</v>
      </c>
    </row>
    <row r="55" spans="2:12">
      <c r="B55" t="s">
        <v>80</v>
      </c>
      <c r="D55" s="26">
        <f t="shared" si="0"/>
        <v>2059.4299999999998</v>
      </c>
      <c r="K55" t="s">
        <v>80</v>
      </c>
      <c r="L55" s="26">
        <v>2059.4299999999998</v>
      </c>
    </row>
    <row r="56" spans="2:12">
      <c r="B56" t="s">
        <v>81</v>
      </c>
      <c r="D56" s="26">
        <f t="shared" si="0"/>
        <v>1809.86</v>
      </c>
      <c r="K56" t="s">
        <v>81</v>
      </c>
      <c r="L56" s="26">
        <v>1809.86</v>
      </c>
    </row>
    <row r="57" spans="2:12">
      <c r="B57" t="s">
        <v>82</v>
      </c>
      <c r="D57" s="26">
        <f t="shared" si="0"/>
        <v>2256.14</v>
      </c>
      <c r="K57" t="s">
        <v>82</v>
      </c>
      <c r="L57" s="26">
        <v>2256.14</v>
      </c>
    </row>
    <row r="58" spans="2:12">
      <c r="B58" t="s">
        <v>83</v>
      </c>
      <c r="D58" s="26">
        <f t="shared" si="0"/>
        <v>1358.57</v>
      </c>
      <c r="K58" t="s">
        <v>83</v>
      </c>
      <c r="L58" s="26">
        <v>1358.57</v>
      </c>
    </row>
    <row r="59" spans="2:12">
      <c r="B59" t="s">
        <v>84</v>
      </c>
      <c r="D59" s="26">
        <f t="shared" si="0"/>
        <v>2077.4299999999998</v>
      </c>
      <c r="K59" t="s">
        <v>84</v>
      </c>
      <c r="L59" s="26">
        <v>2077.4299999999998</v>
      </c>
    </row>
    <row r="60" spans="2:12">
      <c r="B60" t="s">
        <v>85</v>
      </c>
      <c r="D60" s="26">
        <f t="shared" si="0"/>
        <v>2234.5700000000002</v>
      </c>
      <c r="K60" t="s">
        <v>85</v>
      </c>
      <c r="L60" s="26">
        <v>2234.5700000000002</v>
      </c>
    </row>
    <row r="61" spans="2:12">
      <c r="B61" t="s">
        <v>86</v>
      </c>
      <c r="D61" s="26">
        <f t="shared" si="0"/>
        <v>797.86</v>
      </c>
      <c r="K61" t="s">
        <v>86</v>
      </c>
      <c r="L61" s="26">
        <v>797.86</v>
      </c>
    </row>
    <row r="62" spans="2:12">
      <c r="B62" t="s">
        <v>87</v>
      </c>
      <c r="D62" s="26">
        <f t="shared" si="0"/>
        <v>2475</v>
      </c>
      <c r="K62" t="s">
        <v>87</v>
      </c>
      <c r="L62" s="26">
        <v>2475</v>
      </c>
    </row>
    <row r="63" spans="2:12">
      <c r="B63" t="s">
        <v>88</v>
      </c>
      <c r="D63" s="26">
        <f t="shared" si="0"/>
        <v>1111.43</v>
      </c>
      <c r="K63" t="s">
        <v>88</v>
      </c>
      <c r="L63" s="26">
        <v>1111.43</v>
      </c>
    </row>
    <row r="64" spans="2:12">
      <c r="B64" t="s">
        <v>89</v>
      </c>
      <c r="D64" s="26">
        <f t="shared" si="0"/>
        <v>2033.14</v>
      </c>
      <c r="K64" t="s">
        <v>89</v>
      </c>
      <c r="L64" s="26">
        <v>2033.14</v>
      </c>
    </row>
    <row r="65" spans="2:12">
      <c r="B65" t="s">
        <v>90</v>
      </c>
      <c r="D65" s="26">
        <f t="shared" si="0"/>
        <v>1521</v>
      </c>
      <c r="K65" t="s">
        <v>90</v>
      </c>
      <c r="L65" s="26">
        <v>1521</v>
      </c>
    </row>
    <row r="66" spans="2:12">
      <c r="B66" t="s">
        <v>91</v>
      </c>
      <c r="D66" s="26">
        <f t="shared" si="0"/>
        <v>2215.86</v>
      </c>
      <c r="K66" t="s">
        <v>91</v>
      </c>
      <c r="L66" s="26">
        <v>2215.86</v>
      </c>
    </row>
    <row r="67" spans="2:12">
      <c r="B67" t="s">
        <v>92</v>
      </c>
      <c r="D67" s="26">
        <f t="shared" si="0"/>
        <v>2217.71</v>
      </c>
      <c r="K67" t="s">
        <v>92</v>
      </c>
      <c r="L67" s="26">
        <v>2217.71</v>
      </c>
    </row>
    <row r="68" spans="2:12">
      <c r="B68" t="s">
        <v>93</v>
      </c>
      <c r="D68" s="26">
        <f t="shared" ref="D68:D104" si="1">VLOOKUP(B68,K:L,2,FALSE)</f>
        <v>1985.71</v>
      </c>
      <c r="K68" t="s">
        <v>93</v>
      </c>
      <c r="L68" s="26">
        <v>1985.71</v>
      </c>
    </row>
    <row r="69" spans="2:12">
      <c r="B69" t="s">
        <v>94</v>
      </c>
      <c r="D69" s="26">
        <f t="shared" si="1"/>
        <v>1950.43</v>
      </c>
      <c r="K69" t="s">
        <v>94</v>
      </c>
      <c r="L69" s="26">
        <v>1950.43</v>
      </c>
    </row>
    <row r="70" spans="2:12">
      <c r="B70" t="s">
        <v>95</v>
      </c>
      <c r="D70" s="26">
        <f t="shared" si="1"/>
        <v>694.14</v>
      </c>
      <c r="K70" t="s">
        <v>95</v>
      </c>
      <c r="L70" s="26">
        <v>694.14</v>
      </c>
    </row>
    <row r="71" spans="2:12">
      <c r="B71" t="s">
        <v>96</v>
      </c>
      <c r="D71" s="26">
        <f t="shared" si="1"/>
        <v>1759.29</v>
      </c>
      <c r="K71" t="s">
        <v>96</v>
      </c>
      <c r="L71" s="26">
        <v>1759.29</v>
      </c>
    </row>
    <row r="72" spans="2:12">
      <c r="B72" t="s">
        <v>97</v>
      </c>
      <c r="D72" s="26">
        <f t="shared" si="1"/>
        <v>2032.86</v>
      </c>
      <c r="K72" t="s">
        <v>97</v>
      </c>
      <c r="L72" s="26">
        <v>2032.86</v>
      </c>
    </row>
    <row r="73" spans="2:12">
      <c r="B73" t="s">
        <v>98</v>
      </c>
      <c r="D73" s="26">
        <f t="shared" si="1"/>
        <v>2606.29</v>
      </c>
      <c r="K73" t="s">
        <v>98</v>
      </c>
      <c r="L73" s="26">
        <v>2606.29</v>
      </c>
    </row>
    <row r="74" spans="2:12">
      <c r="B74" t="s">
        <v>99</v>
      </c>
      <c r="D74" s="26">
        <f t="shared" si="1"/>
        <v>2456.71</v>
      </c>
      <c r="K74" t="s">
        <v>99</v>
      </c>
      <c r="L74" s="26">
        <v>2456.71</v>
      </c>
    </row>
    <row r="75" spans="2:12">
      <c r="B75" t="s">
        <v>100</v>
      </c>
      <c r="D75" s="26">
        <f t="shared" si="1"/>
        <v>1713.29</v>
      </c>
      <c r="K75" t="s">
        <v>100</v>
      </c>
      <c r="L75" s="26">
        <v>1713.29</v>
      </c>
    </row>
    <row r="76" spans="2:12">
      <c r="B76" t="s">
        <v>101</v>
      </c>
      <c r="D76" s="26">
        <f t="shared" si="1"/>
        <v>2126.5700000000002</v>
      </c>
      <c r="K76" t="s">
        <v>101</v>
      </c>
      <c r="L76" s="26">
        <v>2126.5700000000002</v>
      </c>
    </row>
    <row r="77" spans="2:12">
      <c r="B77" t="s">
        <v>102</v>
      </c>
      <c r="D77" s="26">
        <f t="shared" si="1"/>
        <v>2112.4299999999998</v>
      </c>
      <c r="K77" t="s">
        <v>102</v>
      </c>
      <c r="L77" s="26">
        <v>2112.4299999999998</v>
      </c>
    </row>
    <row r="78" spans="2:12">
      <c r="B78" t="s">
        <v>103</v>
      </c>
      <c r="D78" s="26">
        <f t="shared" si="1"/>
        <v>2279.29</v>
      </c>
      <c r="K78" t="s">
        <v>103</v>
      </c>
      <c r="L78" s="26">
        <v>2279.29</v>
      </c>
    </row>
    <row r="79" spans="2:12">
      <c r="B79" t="s">
        <v>104</v>
      </c>
      <c r="D79" s="26">
        <f t="shared" si="1"/>
        <v>1535.29</v>
      </c>
      <c r="K79" t="s">
        <v>104</v>
      </c>
      <c r="L79" s="26">
        <v>1535.29</v>
      </c>
    </row>
    <row r="80" spans="2:12">
      <c r="B80" t="s">
        <v>105</v>
      </c>
      <c r="D80" s="26">
        <f t="shared" si="1"/>
        <v>2131.71</v>
      </c>
      <c r="K80" t="s">
        <v>105</v>
      </c>
      <c r="L80" s="26">
        <v>2131.71</v>
      </c>
    </row>
    <row r="81" spans="2:12">
      <c r="B81" t="s">
        <v>106</v>
      </c>
      <c r="D81" s="26">
        <f t="shared" si="1"/>
        <v>2019.43</v>
      </c>
      <c r="K81" t="s">
        <v>106</v>
      </c>
      <c r="L81" s="26">
        <v>2019.43</v>
      </c>
    </row>
    <row r="82" spans="2:12">
      <c r="B82" t="s">
        <v>107</v>
      </c>
      <c r="D82" s="26">
        <f t="shared" si="1"/>
        <v>925.43</v>
      </c>
      <c r="K82" t="s">
        <v>107</v>
      </c>
      <c r="L82" s="26">
        <v>925.43</v>
      </c>
    </row>
    <row r="83" spans="2:12">
      <c r="B83" t="s">
        <v>108</v>
      </c>
      <c r="D83" s="26">
        <f t="shared" si="1"/>
        <v>2074.5700000000002</v>
      </c>
      <c r="K83" t="s">
        <v>108</v>
      </c>
      <c r="L83" s="26">
        <v>2074.5700000000002</v>
      </c>
    </row>
    <row r="84" spans="2:12">
      <c r="B84" t="s">
        <v>109</v>
      </c>
      <c r="D84" s="26">
        <f t="shared" si="1"/>
        <v>2234.5700000000002</v>
      </c>
      <c r="K84" t="s">
        <v>109</v>
      </c>
      <c r="L84" s="26">
        <v>2234.5700000000002</v>
      </c>
    </row>
    <row r="85" spans="2:12">
      <c r="B85" t="s">
        <v>110</v>
      </c>
      <c r="D85" s="26">
        <f t="shared" si="1"/>
        <v>2242.14</v>
      </c>
      <c r="K85" t="s">
        <v>110</v>
      </c>
      <c r="L85" s="26">
        <v>2242.14</v>
      </c>
    </row>
    <row r="86" spans="2:12">
      <c r="B86" t="s">
        <v>111</v>
      </c>
      <c r="D86" s="26">
        <f t="shared" si="1"/>
        <v>2548.29</v>
      </c>
      <c r="K86" t="s">
        <v>111</v>
      </c>
      <c r="L86" s="26">
        <v>2548.29</v>
      </c>
    </row>
    <row r="87" spans="2:12">
      <c r="B87" t="s">
        <v>112</v>
      </c>
      <c r="D87" s="26">
        <f t="shared" si="1"/>
        <v>1908.86</v>
      </c>
      <c r="K87" t="s">
        <v>112</v>
      </c>
      <c r="L87" s="26">
        <v>1908.86</v>
      </c>
    </row>
    <row r="88" spans="2:12">
      <c r="B88" t="s">
        <v>113</v>
      </c>
      <c r="D88" s="26">
        <f t="shared" si="1"/>
        <v>1945.71</v>
      </c>
      <c r="K88" t="s">
        <v>113</v>
      </c>
      <c r="L88" s="26">
        <v>1945.71</v>
      </c>
    </row>
    <row r="89" spans="2:12">
      <c r="B89" t="s">
        <v>114</v>
      </c>
      <c r="D89" s="26">
        <f t="shared" si="1"/>
        <v>1281.29</v>
      </c>
      <c r="K89" t="s">
        <v>114</v>
      </c>
      <c r="L89" s="26">
        <v>1281.29</v>
      </c>
    </row>
    <row r="90" spans="2:12">
      <c r="B90" t="s">
        <v>115</v>
      </c>
      <c r="D90" s="26">
        <f t="shared" si="1"/>
        <v>1039.29</v>
      </c>
      <c r="K90" t="s">
        <v>115</v>
      </c>
      <c r="L90" s="26">
        <v>1039.29</v>
      </c>
    </row>
    <row r="91" spans="2:12">
      <c r="B91" t="s">
        <v>116</v>
      </c>
      <c r="D91" s="26">
        <f t="shared" si="1"/>
        <v>1072.8599999999999</v>
      </c>
      <c r="K91" t="s">
        <v>116</v>
      </c>
      <c r="L91" s="26">
        <v>1072.8599999999999</v>
      </c>
    </row>
    <row r="92" spans="2:12">
      <c r="B92" t="s">
        <v>117</v>
      </c>
      <c r="D92" s="26">
        <f t="shared" si="1"/>
        <v>1444.29</v>
      </c>
      <c r="K92" t="s">
        <v>117</v>
      </c>
      <c r="L92" s="26">
        <v>1444.29</v>
      </c>
    </row>
    <row r="93" spans="2:12">
      <c r="B93" t="s">
        <v>118</v>
      </c>
      <c r="D93" s="26">
        <f t="shared" si="1"/>
        <v>1243.57</v>
      </c>
      <c r="K93" t="s">
        <v>118</v>
      </c>
      <c r="L93" s="26">
        <v>1243.57</v>
      </c>
    </row>
    <row r="94" spans="2:12">
      <c r="B94" t="s">
        <v>119</v>
      </c>
      <c r="D94" s="26">
        <f t="shared" si="1"/>
        <v>1853.14</v>
      </c>
      <c r="K94" t="s">
        <v>119</v>
      </c>
      <c r="L94" s="26">
        <v>1853.14</v>
      </c>
    </row>
    <row r="95" spans="2:12">
      <c r="B95" t="s">
        <v>120</v>
      </c>
      <c r="D95" s="26">
        <f t="shared" si="1"/>
        <v>848.71</v>
      </c>
      <c r="K95" t="s">
        <v>120</v>
      </c>
      <c r="L95" s="26">
        <v>848.71</v>
      </c>
    </row>
    <row r="96" spans="2:12">
      <c r="B96" t="s">
        <v>121</v>
      </c>
      <c r="D96" s="26">
        <f t="shared" si="1"/>
        <v>1987.14</v>
      </c>
      <c r="K96" t="s">
        <v>121</v>
      </c>
      <c r="L96" s="26">
        <v>1987.14</v>
      </c>
    </row>
    <row r="97" spans="2:12">
      <c r="B97" t="s">
        <v>122</v>
      </c>
      <c r="D97" s="26">
        <f t="shared" si="1"/>
        <v>2070.29</v>
      </c>
      <c r="K97" t="s">
        <v>122</v>
      </c>
      <c r="L97" s="26">
        <v>2070.29</v>
      </c>
    </row>
    <row r="98" spans="2:12">
      <c r="B98" t="s">
        <v>123</v>
      </c>
      <c r="D98" s="26">
        <f t="shared" si="1"/>
        <v>1924</v>
      </c>
      <c r="K98" t="s">
        <v>123</v>
      </c>
      <c r="L98" s="26">
        <v>1924</v>
      </c>
    </row>
    <row r="99" spans="2:12">
      <c r="B99" t="s">
        <v>124</v>
      </c>
      <c r="D99" s="26">
        <f t="shared" si="1"/>
        <v>2159.5700000000002</v>
      </c>
      <c r="K99" t="s">
        <v>124</v>
      </c>
      <c r="L99" s="26">
        <v>2159.5700000000002</v>
      </c>
    </row>
    <row r="100" spans="2:12">
      <c r="B100" t="s">
        <v>125</v>
      </c>
      <c r="D100" s="26">
        <f t="shared" si="1"/>
        <v>2058.71</v>
      </c>
      <c r="K100" t="s">
        <v>125</v>
      </c>
      <c r="L100" s="26">
        <v>2058.71</v>
      </c>
    </row>
    <row r="101" spans="2:12">
      <c r="B101" t="s">
        <v>126</v>
      </c>
      <c r="D101" s="26">
        <f t="shared" si="1"/>
        <v>2149.14</v>
      </c>
      <c r="K101" t="s">
        <v>126</v>
      </c>
      <c r="L101" s="26">
        <v>2149.14</v>
      </c>
    </row>
    <row r="102" spans="2:12">
      <c r="D102" s="26"/>
      <c r="K102" t="s">
        <v>140</v>
      </c>
      <c r="L102" s="26">
        <v>1925.86</v>
      </c>
    </row>
    <row r="103" spans="2:12">
      <c r="D103" s="26"/>
    </row>
    <row r="104" spans="2:12">
      <c r="B104" t="s">
        <v>140</v>
      </c>
      <c r="D104" s="26">
        <f t="shared" si="1"/>
        <v>1925.86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G104"/>
  <sheetViews>
    <sheetView workbookViewId="0">
      <selection activeCell="G26" sqref="G26"/>
    </sheetView>
  </sheetViews>
  <sheetFormatPr defaultColWidth="8.85546875" defaultRowHeight="12.75"/>
  <cols>
    <col min="4" max="4" width="22.42578125" bestFit="1" customWidth="1"/>
    <col min="6" max="6" width="16.42578125" bestFit="1" customWidth="1"/>
    <col min="7" max="7" width="8.140625" bestFit="1" customWidth="1"/>
  </cols>
  <sheetData>
    <row r="2" spans="2:7">
      <c r="B2" t="s">
        <v>142</v>
      </c>
      <c r="D2" t="s">
        <v>141</v>
      </c>
      <c r="F2" t="s">
        <v>143</v>
      </c>
    </row>
    <row r="3" spans="2:7">
      <c r="B3" t="s">
        <v>28</v>
      </c>
      <c r="D3" s="26">
        <v>1708.14</v>
      </c>
      <c r="E3" s="26"/>
      <c r="G3" s="26"/>
    </row>
    <row r="4" spans="2:7">
      <c r="B4" t="s">
        <v>29</v>
      </c>
      <c r="D4" s="26">
        <v>1602.43</v>
      </c>
      <c r="E4" s="26"/>
      <c r="G4" s="26"/>
    </row>
    <row r="5" spans="2:7">
      <c r="B5" t="s">
        <v>30</v>
      </c>
      <c r="D5" s="26">
        <v>1667.29</v>
      </c>
      <c r="E5" s="26"/>
      <c r="G5" s="26"/>
    </row>
    <row r="6" spans="2:7">
      <c r="B6" t="s">
        <v>31</v>
      </c>
      <c r="D6">
        <v>659.71</v>
      </c>
      <c r="G6" s="26"/>
    </row>
    <row r="7" spans="2:7">
      <c r="B7" t="s">
        <v>32</v>
      </c>
      <c r="D7" s="26">
        <v>2015.57</v>
      </c>
      <c r="E7" s="26"/>
      <c r="G7" s="26"/>
    </row>
    <row r="8" spans="2:7">
      <c r="B8" t="s">
        <v>33</v>
      </c>
      <c r="D8" s="26">
        <v>2581.4299999999998</v>
      </c>
      <c r="E8" s="26"/>
      <c r="G8" s="26"/>
    </row>
    <row r="9" spans="2:7">
      <c r="B9" t="s">
        <v>34</v>
      </c>
      <c r="D9" s="26">
        <v>2477.29</v>
      </c>
      <c r="G9" s="26"/>
    </row>
    <row r="10" spans="2:7">
      <c r="B10" t="s">
        <v>35</v>
      </c>
      <c r="D10" s="26">
        <v>2199.29</v>
      </c>
      <c r="E10" s="26"/>
      <c r="G10" s="26"/>
    </row>
    <row r="11" spans="2:7">
      <c r="B11" t="s">
        <v>36</v>
      </c>
      <c r="D11" s="26">
        <v>2547.29</v>
      </c>
      <c r="E11" s="26"/>
    </row>
    <row r="12" spans="2:7">
      <c r="B12" t="s">
        <v>37</v>
      </c>
      <c r="D12" s="26">
        <v>2325</v>
      </c>
      <c r="E12" s="26"/>
      <c r="G12" s="26"/>
    </row>
    <row r="13" spans="2:7">
      <c r="B13" t="s">
        <v>38</v>
      </c>
      <c r="D13" s="26">
        <v>2421.5700000000002</v>
      </c>
      <c r="G13" s="26"/>
    </row>
    <row r="14" spans="2:7">
      <c r="B14" t="s">
        <v>39</v>
      </c>
      <c r="D14" s="26">
        <v>2269</v>
      </c>
      <c r="E14" s="26"/>
      <c r="G14" s="26"/>
    </row>
    <row r="15" spans="2:7">
      <c r="B15" t="s">
        <v>40</v>
      </c>
      <c r="D15" s="26">
        <v>2122.86</v>
      </c>
      <c r="E15" s="26"/>
      <c r="G15" s="26"/>
    </row>
    <row r="16" spans="2:7">
      <c r="B16" t="s">
        <v>41</v>
      </c>
      <c r="D16" s="26">
        <v>2285.14</v>
      </c>
      <c r="E16" s="26"/>
      <c r="G16" s="26"/>
    </row>
    <row r="17" spans="2:7">
      <c r="B17" t="s">
        <v>42</v>
      </c>
      <c r="D17" s="26">
        <v>2167.14</v>
      </c>
      <c r="E17" s="26"/>
      <c r="G17" s="26"/>
    </row>
    <row r="18" spans="2:7">
      <c r="B18" t="s">
        <v>43</v>
      </c>
      <c r="D18" s="26">
        <v>2675.43</v>
      </c>
      <c r="E18" s="26"/>
      <c r="G18" s="26"/>
    </row>
    <row r="19" spans="2:7">
      <c r="B19" t="s">
        <v>44</v>
      </c>
      <c r="D19" s="26">
        <v>2141</v>
      </c>
      <c r="G19" s="26"/>
    </row>
    <row r="20" spans="2:7">
      <c r="B20" t="s">
        <v>45</v>
      </c>
      <c r="D20" s="26">
        <v>2894.86</v>
      </c>
      <c r="E20" s="26"/>
    </row>
    <row r="21" spans="2:7">
      <c r="B21" t="s">
        <v>46</v>
      </c>
      <c r="D21" s="26">
        <v>2390.4299999999998</v>
      </c>
      <c r="E21" s="26"/>
      <c r="G21" s="26"/>
    </row>
    <row r="22" spans="2:7">
      <c r="B22" t="s">
        <v>47</v>
      </c>
      <c r="D22">
        <v>773.71</v>
      </c>
      <c r="G22" s="26"/>
    </row>
    <row r="23" spans="2:7">
      <c r="B23" t="s">
        <v>48</v>
      </c>
      <c r="D23" s="26">
        <v>2576.29</v>
      </c>
      <c r="E23" s="26"/>
      <c r="G23" s="26"/>
    </row>
    <row r="24" spans="2:7">
      <c r="B24" t="s">
        <v>49</v>
      </c>
      <c r="D24" s="26">
        <v>1906.29</v>
      </c>
      <c r="E24" s="26"/>
      <c r="G24" s="26"/>
    </row>
    <row r="25" spans="2:7">
      <c r="B25" t="s">
        <v>50</v>
      </c>
      <c r="D25" s="26">
        <v>2629</v>
      </c>
      <c r="E25" s="26"/>
      <c r="G25" s="26"/>
    </row>
    <row r="26" spans="2:7">
      <c r="B26" t="s">
        <v>51</v>
      </c>
      <c r="D26" s="26">
        <v>2358.71</v>
      </c>
      <c r="E26" s="26"/>
      <c r="G26" s="26"/>
    </row>
    <row r="27" spans="2:7">
      <c r="B27" t="s">
        <v>52</v>
      </c>
      <c r="D27" s="26">
        <v>1978.43</v>
      </c>
      <c r="E27" s="26"/>
      <c r="G27" s="26"/>
    </row>
    <row r="28" spans="2:7">
      <c r="B28" t="s">
        <v>53</v>
      </c>
      <c r="D28">
        <v>817</v>
      </c>
      <c r="G28" s="26"/>
    </row>
    <row r="29" spans="2:7">
      <c r="B29" t="s">
        <v>54</v>
      </c>
      <c r="D29">
        <v>684.71</v>
      </c>
      <c r="G29" s="26"/>
    </row>
    <row r="30" spans="2:7">
      <c r="B30" t="s">
        <v>55</v>
      </c>
      <c r="D30" s="26">
        <v>2557.4299999999998</v>
      </c>
      <c r="E30" s="26"/>
      <c r="G30" s="26"/>
    </row>
    <row r="31" spans="2:7">
      <c r="B31" t="s">
        <v>56</v>
      </c>
      <c r="D31" s="26">
        <v>2050.4299999999998</v>
      </c>
      <c r="G31" s="26"/>
    </row>
    <row r="32" spans="2:7">
      <c r="B32" t="s">
        <v>57</v>
      </c>
      <c r="D32" s="26">
        <v>2298.29</v>
      </c>
      <c r="E32" s="26"/>
    </row>
    <row r="33" spans="2:7">
      <c r="B33" t="s">
        <v>58</v>
      </c>
      <c r="D33" s="26">
        <v>2203</v>
      </c>
      <c r="E33" s="26"/>
      <c r="G33" s="26"/>
    </row>
    <row r="34" spans="2:7">
      <c r="B34" t="s">
        <v>59</v>
      </c>
      <c r="D34" s="26">
        <v>2374.86</v>
      </c>
      <c r="E34" s="26"/>
      <c r="G34" s="26"/>
    </row>
    <row r="35" spans="2:7">
      <c r="B35" t="s">
        <v>60</v>
      </c>
      <c r="D35" s="26">
        <v>2276</v>
      </c>
      <c r="E35" s="26"/>
      <c r="G35" s="26"/>
    </row>
    <row r="36" spans="2:7">
      <c r="B36" t="s">
        <v>61</v>
      </c>
      <c r="D36" s="26">
        <v>2264.29</v>
      </c>
      <c r="E36" s="26"/>
      <c r="G36" s="26"/>
    </row>
    <row r="37" spans="2:7">
      <c r="B37" t="s">
        <v>62</v>
      </c>
      <c r="D37" s="26">
        <v>2454</v>
      </c>
      <c r="E37" s="26"/>
      <c r="G37" s="26"/>
    </row>
    <row r="38" spans="2:7">
      <c r="B38" t="s">
        <v>63</v>
      </c>
      <c r="D38" s="26">
        <v>2421.71</v>
      </c>
      <c r="E38" s="26"/>
      <c r="G38" s="26"/>
    </row>
    <row r="39" spans="2:7">
      <c r="B39" t="s">
        <v>64</v>
      </c>
      <c r="D39" s="26">
        <v>2154.29</v>
      </c>
      <c r="E39" s="26"/>
      <c r="G39" s="26"/>
    </row>
    <row r="40" spans="2:7">
      <c r="B40" t="s">
        <v>65</v>
      </c>
      <c r="D40" s="26">
        <v>2729.14</v>
      </c>
      <c r="E40" s="26"/>
      <c r="G40" s="26"/>
    </row>
    <row r="41" spans="2:7">
      <c r="B41" t="s">
        <v>66</v>
      </c>
      <c r="D41" s="26">
        <v>1496.29</v>
      </c>
      <c r="E41" s="26"/>
      <c r="G41" s="26"/>
    </row>
    <row r="42" spans="2:7">
      <c r="B42" t="s">
        <v>67</v>
      </c>
      <c r="D42" s="26">
        <v>2224</v>
      </c>
      <c r="E42" s="26"/>
      <c r="G42" s="26"/>
    </row>
    <row r="43" spans="2:7">
      <c r="B43" t="s">
        <v>68</v>
      </c>
      <c r="D43" s="26">
        <v>2395.71</v>
      </c>
      <c r="E43" s="26"/>
      <c r="G43" s="26"/>
    </row>
    <row r="44" spans="2:7">
      <c r="B44" t="s">
        <v>69</v>
      </c>
      <c r="D44" s="26">
        <v>2364.14</v>
      </c>
      <c r="E44" s="26"/>
      <c r="G44" s="26"/>
    </row>
    <row r="45" spans="2:7">
      <c r="B45" t="s">
        <v>70</v>
      </c>
      <c r="D45" s="26">
        <v>2299.14</v>
      </c>
      <c r="E45" s="26"/>
    </row>
    <row r="46" spans="2:7">
      <c r="B46" t="s">
        <v>71</v>
      </c>
      <c r="D46" s="26">
        <v>1651.86</v>
      </c>
      <c r="E46" s="26"/>
      <c r="G46" s="26"/>
    </row>
    <row r="47" spans="2:7">
      <c r="B47" t="s">
        <v>72</v>
      </c>
      <c r="D47" s="26">
        <v>2212.29</v>
      </c>
      <c r="E47" s="26"/>
      <c r="G47" s="26"/>
    </row>
    <row r="48" spans="2:7">
      <c r="B48" t="s">
        <v>73</v>
      </c>
      <c r="D48" s="26">
        <v>2356.5700000000002</v>
      </c>
      <c r="E48" s="26"/>
      <c r="G48" s="26"/>
    </row>
    <row r="49" spans="2:7">
      <c r="B49" t="s">
        <v>74</v>
      </c>
      <c r="D49" s="26">
        <v>2625.14</v>
      </c>
      <c r="E49" s="26"/>
      <c r="G49" s="26"/>
    </row>
    <row r="50" spans="2:7">
      <c r="B50" t="s">
        <v>75</v>
      </c>
      <c r="D50" s="26">
        <v>1997.43</v>
      </c>
      <c r="E50" s="26"/>
      <c r="G50" s="26"/>
    </row>
    <row r="51" spans="2:7">
      <c r="B51" t="s">
        <v>76</v>
      </c>
      <c r="D51" s="26">
        <v>1937.43</v>
      </c>
      <c r="E51" s="26"/>
      <c r="G51" s="26"/>
    </row>
    <row r="52" spans="2:7">
      <c r="B52" t="s">
        <v>77</v>
      </c>
      <c r="D52" s="26">
        <v>1979.43</v>
      </c>
      <c r="E52" s="26"/>
    </row>
    <row r="53" spans="2:7">
      <c r="B53" t="s">
        <v>78</v>
      </c>
      <c r="D53" s="26">
        <v>1631.71</v>
      </c>
    </row>
    <row r="54" spans="2:7">
      <c r="B54" t="s">
        <v>79</v>
      </c>
      <c r="D54" s="26">
        <v>1952.57</v>
      </c>
    </row>
    <row r="55" spans="2:7">
      <c r="B55" t="s">
        <v>80</v>
      </c>
      <c r="D55" s="26">
        <v>2352.4299999999998</v>
      </c>
    </row>
    <row r="56" spans="2:7">
      <c r="B56" t="s">
        <v>81</v>
      </c>
      <c r="D56" s="26">
        <v>1835.29</v>
      </c>
    </row>
    <row r="57" spans="2:7">
      <c r="B57" t="s">
        <v>82</v>
      </c>
      <c r="D57" s="26">
        <v>2590.4299999999998</v>
      </c>
    </row>
    <row r="58" spans="2:7">
      <c r="B58" t="s">
        <v>83</v>
      </c>
      <c r="D58" s="26">
        <v>1445.57</v>
      </c>
    </row>
    <row r="59" spans="2:7">
      <c r="B59" t="s">
        <v>84</v>
      </c>
      <c r="D59" s="26">
        <v>2362.5700000000002</v>
      </c>
    </row>
    <row r="60" spans="2:7">
      <c r="B60" t="s">
        <v>85</v>
      </c>
      <c r="D60" s="26">
        <v>2175.71</v>
      </c>
    </row>
    <row r="61" spans="2:7">
      <c r="B61" t="s">
        <v>86</v>
      </c>
      <c r="D61">
        <v>762.43</v>
      </c>
    </row>
    <row r="62" spans="2:7">
      <c r="B62" t="s">
        <v>87</v>
      </c>
      <c r="D62" s="26">
        <v>3086.43</v>
      </c>
    </row>
    <row r="63" spans="2:7">
      <c r="B63" t="s">
        <v>88</v>
      </c>
      <c r="D63" s="26">
        <v>1228.57</v>
      </c>
    </row>
    <row r="64" spans="2:7">
      <c r="B64" t="s">
        <v>89</v>
      </c>
      <c r="D64" s="26">
        <v>2279.14</v>
      </c>
    </row>
    <row r="65" spans="2:4">
      <c r="B65" t="s">
        <v>90</v>
      </c>
      <c r="D65" s="26">
        <v>1650.14</v>
      </c>
    </row>
    <row r="66" spans="2:4">
      <c r="B66" t="s">
        <v>91</v>
      </c>
      <c r="D66" s="26">
        <v>2409.4299999999998</v>
      </c>
    </row>
    <row r="67" spans="2:4">
      <c r="B67" t="s">
        <v>92</v>
      </c>
      <c r="D67" s="26">
        <v>2645.57</v>
      </c>
    </row>
    <row r="68" spans="2:4">
      <c r="B68" t="s">
        <v>93</v>
      </c>
      <c r="D68" s="26">
        <v>2234</v>
      </c>
    </row>
    <row r="69" spans="2:4">
      <c r="B69" t="s">
        <v>94</v>
      </c>
      <c r="D69" s="26">
        <v>2213</v>
      </c>
    </row>
    <row r="70" spans="2:4">
      <c r="B70" t="s">
        <v>95</v>
      </c>
      <c r="D70">
        <v>680</v>
      </c>
    </row>
    <row r="71" spans="2:4">
      <c r="B71" t="s">
        <v>96</v>
      </c>
      <c r="D71" s="26">
        <v>2223</v>
      </c>
    </row>
    <row r="72" spans="2:4">
      <c r="B72" t="s">
        <v>97</v>
      </c>
      <c r="D72" s="26">
        <v>2210.14</v>
      </c>
    </row>
    <row r="73" spans="2:4">
      <c r="B73" t="s">
        <v>98</v>
      </c>
      <c r="D73" s="26">
        <v>2887.43</v>
      </c>
    </row>
    <row r="74" spans="2:4">
      <c r="B74" t="s">
        <v>99</v>
      </c>
      <c r="D74" s="26">
        <v>2718</v>
      </c>
    </row>
    <row r="75" spans="2:4">
      <c r="B75" t="s">
        <v>100</v>
      </c>
      <c r="D75" s="26">
        <v>2048.4299999999998</v>
      </c>
    </row>
    <row r="76" spans="2:4">
      <c r="B76" t="s">
        <v>101</v>
      </c>
      <c r="D76" s="26">
        <v>2475.4299999999998</v>
      </c>
    </row>
    <row r="77" spans="2:4">
      <c r="B77" t="s">
        <v>102</v>
      </c>
      <c r="D77" s="26">
        <v>2475.71</v>
      </c>
    </row>
    <row r="78" spans="2:4">
      <c r="B78" t="s">
        <v>103</v>
      </c>
      <c r="D78" s="26">
        <v>2527.71</v>
      </c>
    </row>
    <row r="79" spans="2:4">
      <c r="B79" t="s">
        <v>104</v>
      </c>
      <c r="D79" s="26">
        <v>1571.14</v>
      </c>
    </row>
    <row r="80" spans="2:4">
      <c r="B80" t="s">
        <v>105</v>
      </c>
      <c r="D80" s="26">
        <v>2588.5700000000002</v>
      </c>
    </row>
    <row r="81" spans="2:4">
      <c r="B81" t="s">
        <v>106</v>
      </c>
      <c r="D81" s="26">
        <v>2311.71</v>
      </c>
    </row>
    <row r="82" spans="2:4">
      <c r="B82" t="s">
        <v>107</v>
      </c>
      <c r="D82">
        <v>936.14</v>
      </c>
    </row>
    <row r="83" spans="2:4">
      <c r="B83" t="s">
        <v>108</v>
      </c>
      <c r="D83" s="26">
        <v>2322.71</v>
      </c>
    </row>
    <row r="84" spans="2:4">
      <c r="B84" t="s">
        <v>109</v>
      </c>
      <c r="D84" s="26">
        <v>2302.71</v>
      </c>
    </row>
    <row r="85" spans="2:4">
      <c r="B85" t="s">
        <v>110</v>
      </c>
      <c r="D85" s="26">
        <v>2545</v>
      </c>
    </row>
    <row r="86" spans="2:4">
      <c r="B86" t="s">
        <v>111</v>
      </c>
      <c r="D86" s="26">
        <v>2863.43</v>
      </c>
    </row>
    <row r="87" spans="2:4">
      <c r="B87" t="s">
        <v>112</v>
      </c>
      <c r="D87" s="26">
        <v>2123</v>
      </c>
    </row>
    <row r="88" spans="2:4">
      <c r="B88" t="s">
        <v>113</v>
      </c>
      <c r="D88" s="26">
        <v>2129.71</v>
      </c>
    </row>
    <row r="89" spans="2:4">
      <c r="B89" t="s">
        <v>114</v>
      </c>
      <c r="D89" s="26">
        <v>1355</v>
      </c>
    </row>
    <row r="90" spans="2:4">
      <c r="B90" t="s">
        <v>115</v>
      </c>
      <c r="D90" s="26">
        <v>1160.43</v>
      </c>
    </row>
    <row r="91" spans="2:4">
      <c r="B91" t="s">
        <v>116</v>
      </c>
      <c r="D91" s="26">
        <v>1043.57</v>
      </c>
    </row>
    <row r="92" spans="2:4">
      <c r="B92" t="s">
        <v>117</v>
      </c>
      <c r="D92" s="26">
        <v>1579.14</v>
      </c>
    </row>
    <row r="93" spans="2:4">
      <c r="B93" t="s">
        <v>118</v>
      </c>
      <c r="D93" s="26">
        <v>1322.57</v>
      </c>
    </row>
    <row r="94" spans="2:4">
      <c r="B94" t="s">
        <v>119</v>
      </c>
      <c r="D94" s="26">
        <v>1938.14</v>
      </c>
    </row>
    <row r="95" spans="2:4">
      <c r="B95" t="s">
        <v>120</v>
      </c>
      <c r="D95">
        <v>785</v>
      </c>
    </row>
    <row r="96" spans="2:4">
      <c r="B96" t="s">
        <v>121</v>
      </c>
      <c r="D96" s="26">
        <v>2098</v>
      </c>
    </row>
    <row r="97" spans="2:4">
      <c r="B97" t="s">
        <v>122</v>
      </c>
      <c r="D97" s="26">
        <v>2272.86</v>
      </c>
    </row>
    <row r="98" spans="2:4">
      <c r="B98" t="s">
        <v>123</v>
      </c>
      <c r="D98" s="26">
        <v>2383.71</v>
      </c>
    </row>
    <row r="99" spans="2:4">
      <c r="B99" t="s">
        <v>124</v>
      </c>
      <c r="D99" s="26">
        <v>2352.29</v>
      </c>
    </row>
    <row r="100" spans="2:4">
      <c r="B100" t="s">
        <v>125</v>
      </c>
      <c r="D100" s="26">
        <v>2300.5700000000002</v>
      </c>
    </row>
    <row r="101" spans="2:4">
      <c r="B101" t="s">
        <v>126</v>
      </c>
      <c r="D101" s="26">
        <v>2456.4299999999998</v>
      </c>
    </row>
    <row r="104" spans="2:4">
      <c r="B104" t="s">
        <v>140</v>
      </c>
      <c r="D104" s="26">
        <v>2153.14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DDE64-E0BD-4410-A628-A46A7F70B13F}">
  <dimension ref="B2:L104"/>
  <sheetViews>
    <sheetView workbookViewId="0">
      <selection activeCell="K53" sqref="K53:L102"/>
    </sheetView>
  </sheetViews>
  <sheetFormatPr defaultColWidth="8.85546875" defaultRowHeight="12.75"/>
  <cols>
    <col min="4" max="4" width="22.42578125" bestFit="1" customWidth="1"/>
    <col min="6" max="6" width="16.42578125" bestFit="1" customWidth="1"/>
    <col min="7" max="7" width="8.140625" bestFit="1" customWidth="1"/>
  </cols>
  <sheetData>
    <row r="2" spans="2:12">
      <c r="B2" t="s">
        <v>142</v>
      </c>
      <c r="D2" s="28" t="s">
        <v>198</v>
      </c>
      <c r="F2" s="28" t="s">
        <v>199</v>
      </c>
      <c r="K2" s="28" t="s">
        <v>183</v>
      </c>
    </row>
    <row r="3" spans="2:12">
      <c r="B3" t="s">
        <v>28</v>
      </c>
      <c r="D3" s="26">
        <f>VLOOKUP(B3,K:L,2,FALSE)</f>
        <v>1279.71</v>
      </c>
      <c r="E3" s="26"/>
      <c r="G3" s="26"/>
      <c r="K3" s="121" t="s">
        <v>28</v>
      </c>
      <c r="L3" s="127">
        <v>1279.71</v>
      </c>
    </row>
    <row r="4" spans="2:12">
      <c r="B4" t="s">
        <v>29</v>
      </c>
      <c r="D4" s="26">
        <f t="shared" ref="D4:D67" si="0">VLOOKUP(B4,K:L,2,FALSE)</f>
        <v>1238.57</v>
      </c>
      <c r="E4" s="26"/>
      <c r="G4" s="26"/>
      <c r="K4" s="121" t="s">
        <v>29</v>
      </c>
      <c r="L4" s="127">
        <v>1238.57</v>
      </c>
    </row>
    <row r="5" spans="2:12">
      <c r="B5" t="s">
        <v>30</v>
      </c>
      <c r="D5" s="26">
        <f t="shared" si="0"/>
        <v>1341.71</v>
      </c>
      <c r="E5" s="26"/>
      <c r="G5" s="26"/>
      <c r="K5" s="121" t="s">
        <v>30</v>
      </c>
      <c r="L5" s="127">
        <v>1341.71</v>
      </c>
    </row>
    <row r="6" spans="2:12">
      <c r="B6" t="s">
        <v>31</v>
      </c>
      <c r="D6" s="26">
        <f t="shared" si="0"/>
        <v>622.29</v>
      </c>
      <c r="G6" s="26"/>
      <c r="K6" s="121" t="s">
        <v>31</v>
      </c>
      <c r="L6" s="127">
        <v>622.29</v>
      </c>
    </row>
    <row r="7" spans="2:12">
      <c r="B7" t="s">
        <v>32</v>
      </c>
      <c r="D7" s="26">
        <f t="shared" si="0"/>
        <v>1541.43</v>
      </c>
      <c r="E7" s="26"/>
      <c r="G7" s="26"/>
      <c r="K7" s="121" t="s">
        <v>32</v>
      </c>
      <c r="L7" s="127">
        <v>1541.43</v>
      </c>
    </row>
    <row r="8" spans="2:12">
      <c r="B8" t="s">
        <v>33</v>
      </c>
      <c r="D8" s="26">
        <f t="shared" si="0"/>
        <v>1975.71</v>
      </c>
      <c r="E8" s="26"/>
      <c r="G8" s="26"/>
      <c r="K8" s="121" t="s">
        <v>33</v>
      </c>
      <c r="L8" s="127">
        <v>1975.71</v>
      </c>
    </row>
    <row r="9" spans="2:12">
      <c r="B9" t="s">
        <v>34</v>
      </c>
      <c r="D9" s="26">
        <f t="shared" si="0"/>
        <v>1817</v>
      </c>
      <c r="G9" s="26"/>
      <c r="K9" s="121" t="s">
        <v>34</v>
      </c>
      <c r="L9" s="127">
        <v>1817</v>
      </c>
    </row>
    <row r="10" spans="2:12">
      <c r="B10" t="s">
        <v>35</v>
      </c>
      <c r="D10" s="26">
        <f t="shared" si="0"/>
        <v>1741.57</v>
      </c>
      <c r="E10" s="26"/>
      <c r="G10" s="26"/>
      <c r="K10" s="121" t="s">
        <v>35</v>
      </c>
      <c r="L10" s="127">
        <v>1741.57</v>
      </c>
    </row>
    <row r="11" spans="2:12">
      <c r="B11" t="s">
        <v>36</v>
      </c>
      <c r="D11" s="26">
        <f t="shared" si="0"/>
        <v>1760</v>
      </c>
      <c r="E11" s="26"/>
      <c r="K11" s="121" t="s">
        <v>36</v>
      </c>
      <c r="L11" s="127">
        <v>1760</v>
      </c>
    </row>
    <row r="12" spans="2:12">
      <c r="B12" t="s">
        <v>37</v>
      </c>
      <c r="D12" s="26">
        <f t="shared" si="0"/>
        <v>1788.71</v>
      </c>
      <c r="E12" s="26"/>
      <c r="G12" s="26"/>
      <c r="K12" s="121" t="s">
        <v>37</v>
      </c>
      <c r="L12" s="127">
        <v>1788.71</v>
      </c>
    </row>
    <row r="13" spans="2:12">
      <c r="B13" t="s">
        <v>38</v>
      </c>
      <c r="D13" s="26">
        <f t="shared" si="0"/>
        <v>1772</v>
      </c>
      <c r="G13" s="26"/>
      <c r="K13" s="121" t="s">
        <v>38</v>
      </c>
      <c r="L13" s="127">
        <v>1772</v>
      </c>
    </row>
    <row r="14" spans="2:12">
      <c r="B14" t="s">
        <v>39</v>
      </c>
      <c r="D14" s="26">
        <f t="shared" si="0"/>
        <v>1633.57</v>
      </c>
      <c r="E14" s="26"/>
      <c r="G14" s="26"/>
      <c r="K14" s="121" t="s">
        <v>39</v>
      </c>
      <c r="L14" s="127">
        <v>1633.57</v>
      </c>
    </row>
    <row r="15" spans="2:12">
      <c r="B15" t="s">
        <v>40</v>
      </c>
      <c r="D15" s="26">
        <f t="shared" si="0"/>
        <v>1645.29</v>
      </c>
      <c r="E15" s="26"/>
      <c r="G15" s="26"/>
      <c r="K15" s="121" t="s">
        <v>40</v>
      </c>
      <c r="L15" s="127">
        <v>1645.29</v>
      </c>
    </row>
    <row r="16" spans="2:12">
      <c r="B16" t="s">
        <v>41</v>
      </c>
      <c r="D16" s="26">
        <f t="shared" si="0"/>
        <v>1700.29</v>
      </c>
      <c r="E16" s="26"/>
      <c r="G16" s="26"/>
      <c r="K16" s="121" t="s">
        <v>41</v>
      </c>
      <c r="L16" s="127">
        <v>1700.29</v>
      </c>
    </row>
    <row r="17" spans="2:12">
      <c r="B17" t="s">
        <v>42</v>
      </c>
      <c r="D17" s="26">
        <f t="shared" si="0"/>
        <v>1604.86</v>
      </c>
      <c r="E17" s="26"/>
      <c r="G17" s="26"/>
      <c r="K17" s="121" t="s">
        <v>42</v>
      </c>
      <c r="L17" s="127">
        <v>1604.86</v>
      </c>
    </row>
    <row r="18" spans="2:12">
      <c r="B18" t="s">
        <v>43</v>
      </c>
      <c r="D18" s="26">
        <f t="shared" si="0"/>
        <v>2108.4299999999998</v>
      </c>
      <c r="E18" s="26"/>
      <c r="G18" s="26"/>
      <c r="K18" s="121" t="s">
        <v>43</v>
      </c>
      <c r="L18" s="127">
        <v>2108.4299999999998</v>
      </c>
    </row>
    <row r="19" spans="2:12">
      <c r="B19" t="s">
        <v>44</v>
      </c>
      <c r="D19" s="26">
        <f t="shared" si="0"/>
        <v>1594.29</v>
      </c>
      <c r="G19" s="26"/>
      <c r="K19" s="121" t="s">
        <v>44</v>
      </c>
      <c r="L19" s="127">
        <v>1594.29</v>
      </c>
    </row>
    <row r="20" spans="2:12">
      <c r="B20" t="s">
        <v>45</v>
      </c>
      <c r="D20" s="26">
        <f t="shared" si="0"/>
        <v>2100</v>
      </c>
      <c r="E20" s="26"/>
      <c r="K20" s="121" t="s">
        <v>45</v>
      </c>
      <c r="L20" s="127">
        <v>2100</v>
      </c>
    </row>
    <row r="21" spans="2:12">
      <c r="B21" t="s">
        <v>46</v>
      </c>
      <c r="D21" s="26">
        <f t="shared" si="0"/>
        <v>1796.29</v>
      </c>
      <c r="E21" s="26"/>
      <c r="G21" s="26"/>
      <c r="K21" s="121" t="s">
        <v>46</v>
      </c>
      <c r="L21" s="127">
        <v>1796.29</v>
      </c>
    </row>
    <row r="22" spans="2:12">
      <c r="B22" t="s">
        <v>47</v>
      </c>
      <c r="D22" s="26">
        <f t="shared" si="0"/>
        <v>793.14</v>
      </c>
      <c r="G22" s="26"/>
      <c r="K22" s="121" t="s">
        <v>47</v>
      </c>
      <c r="L22" s="127">
        <v>793.14</v>
      </c>
    </row>
    <row r="23" spans="2:12">
      <c r="B23" t="s">
        <v>48</v>
      </c>
      <c r="D23" s="26">
        <f t="shared" si="0"/>
        <v>1964.57</v>
      </c>
      <c r="E23" s="26"/>
      <c r="G23" s="26"/>
      <c r="K23" s="121" t="s">
        <v>48</v>
      </c>
      <c r="L23" s="127">
        <v>1964.57</v>
      </c>
    </row>
    <row r="24" spans="2:12">
      <c r="B24" t="s">
        <v>49</v>
      </c>
      <c r="D24" s="26">
        <f t="shared" si="0"/>
        <v>1532.14</v>
      </c>
      <c r="E24" s="26"/>
      <c r="G24" s="26"/>
      <c r="K24" s="121" t="s">
        <v>49</v>
      </c>
      <c r="L24" s="127">
        <v>1532.14</v>
      </c>
    </row>
    <row r="25" spans="2:12">
      <c r="B25" t="s">
        <v>50</v>
      </c>
      <c r="D25" s="26">
        <f t="shared" si="0"/>
        <v>2023.14</v>
      </c>
      <c r="E25" s="26"/>
      <c r="G25" s="26"/>
      <c r="K25" s="121" t="s">
        <v>50</v>
      </c>
      <c r="L25" s="127">
        <v>2023.14</v>
      </c>
    </row>
    <row r="26" spans="2:12">
      <c r="B26" t="s">
        <v>51</v>
      </c>
      <c r="D26" s="26">
        <f t="shared" si="0"/>
        <v>1740</v>
      </c>
      <c r="E26" s="26"/>
      <c r="G26" s="26"/>
      <c r="K26" t="s">
        <v>51</v>
      </c>
      <c r="L26" s="127">
        <v>1740</v>
      </c>
    </row>
    <row r="27" spans="2:12">
      <c r="B27" t="s">
        <v>52</v>
      </c>
      <c r="D27" s="26">
        <f t="shared" si="0"/>
        <v>1515.57</v>
      </c>
      <c r="E27" s="26"/>
      <c r="G27" s="26"/>
      <c r="K27" s="121" t="s">
        <v>52</v>
      </c>
      <c r="L27" s="127">
        <v>1515.57</v>
      </c>
    </row>
    <row r="28" spans="2:12">
      <c r="B28" t="s">
        <v>53</v>
      </c>
      <c r="D28" s="26">
        <f t="shared" si="0"/>
        <v>866.29</v>
      </c>
      <c r="G28" s="26"/>
      <c r="K28" s="121" t="s">
        <v>53</v>
      </c>
      <c r="L28" s="127">
        <v>866.29</v>
      </c>
    </row>
    <row r="29" spans="2:12">
      <c r="B29" t="s">
        <v>54</v>
      </c>
      <c r="D29" s="26">
        <f t="shared" si="0"/>
        <v>602.42999999999995</v>
      </c>
      <c r="G29" s="26"/>
      <c r="K29" s="121" t="s">
        <v>54</v>
      </c>
      <c r="L29" s="127">
        <v>602.42999999999995</v>
      </c>
    </row>
    <row r="30" spans="2:12">
      <c r="B30" t="s">
        <v>55</v>
      </c>
      <c r="D30" s="26">
        <f t="shared" si="0"/>
        <v>1772.57</v>
      </c>
      <c r="E30" s="26"/>
      <c r="G30" s="26"/>
      <c r="K30" s="121" t="s">
        <v>55</v>
      </c>
      <c r="L30" s="127">
        <v>1772.57</v>
      </c>
    </row>
    <row r="31" spans="2:12">
      <c r="B31" t="s">
        <v>56</v>
      </c>
      <c r="D31" s="26">
        <f t="shared" si="0"/>
        <v>1742.86</v>
      </c>
      <c r="G31" s="26"/>
      <c r="K31" s="121" t="s">
        <v>56</v>
      </c>
      <c r="L31" s="127">
        <v>1742.86</v>
      </c>
    </row>
    <row r="32" spans="2:12">
      <c r="B32" t="s">
        <v>57</v>
      </c>
      <c r="D32" s="26">
        <f t="shared" si="0"/>
        <v>1788.86</v>
      </c>
      <c r="E32" s="26"/>
      <c r="K32" s="121" t="s">
        <v>57</v>
      </c>
      <c r="L32" s="127">
        <v>1788.86</v>
      </c>
    </row>
    <row r="33" spans="2:12">
      <c r="B33" t="s">
        <v>58</v>
      </c>
      <c r="D33" s="26">
        <f t="shared" si="0"/>
        <v>1841.86</v>
      </c>
      <c r="E33" s="26"/>
      <c r="G33" s="26"/>
      <c r="K33" s="121" t="s">
        <v>58</v>
      </c>
      <c r="L33" s="127">
        <v>1841.86</v>
      </c>
    </row>
    <row r="34" spans="2:12">
      <c r="B34" t="s">
        <v>59</v>
      </c>
      <c r="D34" s="26">
        <f t="shared" si="0"/>
        <v>1798.43</v>
      </c>
      <c r="E34" s="26"/>
      <c r="G34" s="26"/>
      <c r="K34" s="121" t="s">
        <v>59</v>
      </c>
      <c r="L34" s="127">
        <v>1798.43</v>
      </c>
    </row>
    <row r="35" spans="2:12">
      <c r="B35" t="s">
        <v>60</v>
      </c>
      <c r="D35" s="26">
        <f t="shared" si="0"/>
        <v>1891</v>
      </c>
      <c r="E35" s="26"/>
      <c r="G35" s="26"/>
      <c r="K35" s="121" t="s">
        <v>60</v>
      </c>
      <c r="L35" s="127">
        <v>1891</v>
      </c>
    </row>
    <row r="36" spans="2:12">
      <c r="B36" t="s">
        <v>61</v>
      </c>
      <c r="D36" s="26">
        <f t="shared" si="0"/>
        <v>1609.57</v>
      </c>
      <c r="E36" s="26"/>
      <c r="G36" s="26"/>
      <c r="K36" s="121" t="s">
        <v>61</v>
      </c>
      <c r="L36" s="127">
        <v>1609.57</v>
      </c>
    </row>
    <row r="37" spans="2:12">
      <c r="B37" t="s">
        <v>62</v>
      </c>
      <c r="D37" s="26">
        <f t="shared" si="0"/>
        <v>1781.14</v>
      </c>
      <c r="E37" s="26"/>
      <c r="G37" s="26"/>
      <c r="K37" s="121" t="s">
        <v>62</v>
      </c>
      <c r="L37" s="127">
        <v>1781.14</v>
      </c>
    </row>
    <row r="38" spans="2:12">
      <c r="B38" t="s">
        <v>63</v>
      </c>
      <c r="D38" s="26">
        <f t="shared" si="0"/>
        <v>1622.57</v>
      </c>
      <c r="E38" s="26"/>
      <c r="G38" s="26"/>
      <c r="K38" s="121" t="s">
        <v>63</v>
      </c>
      <c r="L38" s="127">
        <v>1622.57</v>
      </c>
    </row>
    <row r="39" spans="2:12">
      <c r="B39" t="s">
        <v>64</v>
      </c>
      <c r="D39" s="26">
        <f t="shared" si="0"/>
        <v>1588.43</v>
      </c>
      <c r="E39" s="26"/>
      <c r="G39" s="26"/>
      <c r="K39" s="121" t="s">
        <v>64</v>
      </c>
      <c r="L39" s="127">
        <v>1588.43</v>
      </c>
    </row>
    <row r="40" spans="2:12">
      <c r="B40" t="s">
        <v>65</v>
      </c>
      <c r="D40" s="26">
        <f t="shared" si="0"/>
        <v>2121</v>
      </c>
      <c r="E40" s="26"/>
      <c r="G40" s="26"/>
      <c r="K40" s="121" t="s">
        <v>65</v>
      </c>
      <c r="L40" s="127">
        <v>2121</v>
      </c>
    </row>
    <row r="41" spans="2:12">
      <c r="B41" t="s">
        <v>66</v>
      </c>
      <c r="D41" s="26">
        <f t="shared" si="0"/>
        <v>1147.29</v>
      </c>
      <c r="E41" s="26"/>
      <c r="G41" s="26"/>
      <c r="K41" s="121" t="s">
        <v>66</v>
      </c>
      <c r="L41" s="127">
        <v>1147.29</v>
      </c>
    </row>
    <row r="42" spans="2:12">
      <c r="B42" t="s">
        <v>67</v>
      </c>
      <c r="D42" s="26">
        <f t="shared" si="0"/>
        <v>1748.57</v>
      </c>
      <c r="E42" s="26"/>
      <c r="G42" s="26"/>
      <c r="K42" s="121" t="s">
        <v>67</v>
      </c>
      <c r="L42" s="127">
        <v>1748.57</v>
      </c>
    </row>
    <row r="43" spans="2:12">
      <c r="B43" t="s">
        <v>68</v>
      </c>
      <c r="D43" s="26">
        <f t="shared" si="0"/>
        <v>1755.71</v>
      </c>
      <c r="E43" s="26"/>
      <c r="G43" s="26"/>
      <c r="K43" s="121" t="s">
        <v>68</v>
      </c>
      <c r="L43" s="127">
        <v>1755.71</v>
      </c>
    </row>
    <row r="44" spans="2:12">
      <c r="B44" t="s">
        <v>69</v>
      </c>
      <c r="D44" s="26">
        <f t="shared" si="0"/>
        <v>1777</v>
      </c>
      <c r="E44" s="26"/>
      <c r="G44" s="26"/>
      <c r="K44" s="121" t="s">
        <v>69</v>
      </c>
      <c r="L44" s="127">
        <v>1777</v>
      </c>
    </row>
    <row r="45" spans="2:12">
      <c r="B45" t="s">
        <v>70</v>
      </c>
      <c r="D45" s="26">
        <f t="shared" si="0"/>
        <v>1591.86</v>
      </c>
      <c r="E45" s="26"/>
      <c r="K45" s="121" t="s">
        <v>70</v>
      </c>
      <c r="L45" s="127">
        <v>1591.86</v>
      </c>
    </row>
    <row r="46" spans="2:12">
      <c r="B46" t="s">
        <v>71</v>
      </c>
      <c r="D46" s="26">
        <f t="shared" si="0"/>
        <v>1371.14</v>
      </c>
      <c r="E46" s="26"/>
      <c r="G46" s="26"/>
      <c r="K46" s="121" t="s">
        <v>71</v>
      </c>
      <c r="L46" s="127">
        <v>1371.14</v>
      </c>
    </row>
    <row r="47" spans="2:12">
      <c r="B47" t="s">
        <v>72</v>
      </c>
      <c r="D47" s="26">
        <f t="shared" si="0"/>
        <v>1575.29</v>
      </c>
      <c r="E47" s="26"/>
      <c r="G47" s="26"/>
      <c r="K47" s="121" t="s">
        <v>72</v>
      </c>
      <c r="L47" s="127">
        <v>1575.29</v>
      </c>
    </row>
    <row r="48" spans="2:12">
      <c r="B48" t="s">
        <v>73</v>
      </c>
      <c r="D48" s="26">
        <f t="shared" si="0"/>
        <v>1794.86</v>
      </c>
      <c r="E48" s="26"/>
      <c r="G48" s="26"/>
      <c r="K48" s="125" t="s">
        <v>73</v>
      </c>
      <c r="L48" s="127">
        <v>1794.86</v>
      </c>
    </row>
    <row r="49" spans="2:12">
      <c r="B49" t="s">
        <v>74</v>
      </c>
      <c r="D49" s="26">
        <f t="shared" si="0"/>
        <v>2046</v>
      </c>
      <c r="E49" s="26"/>
      <c r="G49" s="26"/>
      <c r="K49" s="121" t="s">
        <v>74</v>
      </c>
      <c r="L49" s="127">
        <v>2046</v>
      </c>
    </row>
    <row r="50" spans="2:12">
      <c r="B50" t="s">
        <v>75</v>
      </c>
      <c r="D50" s="26">
        <f t="shared" si="0"/>
        <v>1631</v>
      </c>
      <c r="E50" s="26"/>
      <c r="G50" s="26"/>
      <c r="K50" s="121" t="s">
        <v>75</v>
      </c>
      <c r="L50" s="127">
        <v>1631</v>
      </c>
    </row>
    <row r="51" spans="2:12">
      <c r="B51" t="s">
        <v>76</v>
      </c>
      <c r="D51" s="26">
        <f t="shared" si="0"/>
        <v>1643.71</v>
      </c>
      <c r="E51" s="26"/>
      <c r="G51" s="26"/>
      <c r="K51" s="121" t="s">
        <v>76</v>
      </c>
      <c r="L51" s="127">
        <v>1643.71</v>
      </c>
    </row>
    <row r="52" spans="2:12">
      <c r="B52" t="s">
        <v>77</v>
      </c>
      <c r="D52" s="26">
        <f t="shared" si="0"/>
        <v>1753.43</v>
      </c>
      <c r="E52" s="26"/>
      <c r="K52" s="121" t="s">
        <v>77</v>
      </c>
      <c r="L52" s="127">
        <v>1753.43</v>
      </c>
    </row>
    <row r="53" spans="2:12">
      <c r="B53" t="s">
        <v>78</v>
      </c>
      <c r="D53" s="26">
        <f t="shared" si="0"/>
        <v>1449.29</v>
      </c>
      <c r="K53" s="121" t="s">
        <v>78</v>
      </c>
      <c r="L53" s="127">
        <v>1449.29</v>
      </c>
    </row>
    <row r="54" spans="2:12">
      <c r="B54" t="s">
        <v>79</v>
      </c>
      <c r="D54" s="26">
        <f t="shared" si="0"/>
        <v>1526</v>
      </c>
      <c r="K54" s="121" t="s">
        <v>79</v>
      </c>
      <c r="L54" s="127">
        <v>1526</v>
      </c>
    </row>
    <row r="55" spans="2:12">
      <c r="B55" t="s">
        <v>80</v>
      </c>
      <c r="D55" s="26">
        <f t="shared" si="0"/>
        <v>1749.14</v>
      </c>
      <c r="K55" s="121" t="s">
        <v>80</v>
      </c>
      <c r="L55" s="127">
        <v>1749.14</v>
      </c>
    </row>
    <row r="56" spans="2:12">
      <c r="B56" t="s">
        <v>81</v>
      </c>
      <c r="D56" s="26">
        <f t="shared" si="0"/>
        <v>1582.43</v>
      </c>
      <c r="K56" s="121" t="s">
        <v>81</v>
      </c>
      <c r="L56" s="127">
        <v>1582.43</v>
      </c>
    </row>
    <row r="57" spans="2:12">
      <c r="B57" t="s">
        <v>82</v>
      </c>
      <c r="D57" s="26">
        <f t="shared" si="0"/>
        <v>1890.86</v>
      </c>
      <c r="K57" s="121" t="s">
        <v>82</v>
      </c>
      <c r="L57" s="127">
        <v>1890.86</v>
      </c>
    </row>
    <row r="58" spans="2:12">
      <c r="B58" t="s">
        <v>83</v>
      </c>
      <c r="D58" s="26">
        <f t="shared" si="0"/>
        <v>1293.43</v>
      </c>
      <c r="K58" s="121" t="s">
        <v>83</v>
      </c>
      <c r="L58" s="127">
        <v>1293.43</v>
      </c>
    </row>
    <row r="59" spans="2:12">
      <c r="B59" t="s">
        <v>84</v>
      </c>
      <c r="D59" s="26">
        <f t="shared" si="0"/>
        <v>1818</v>
      </c>
      <c r="K59" s="121" t="s">
        <v>84</v>
      </c>
      <c r="L59" s="127">
        <v>1818</v>
      </c>
    </row>
    <row r="60" spans="2:12">
      <c r="B60" t="s">
        <v>85</v>
      </c>
      <c r="D60" s="26">
        <f t="shared" si="0"/>
        <v>1986.14</v>
      </c>
      <c r="K60" s="121" t="s">
        <v>85</v>
      </c>
      <c r="L60" s="127">
        <v>1986.14</v>
      </c>
    </row>
    <row r="61" spans="2:12">
      <c r="B61" t="s">
        <v>86</v>
      </c>
      <c r="D61" s="26">
        <f t="shared" si="0"/>
        <v>740.29</v>
      </c>
      <c r="K61" s="121" t="s">
        <v>86</v>
      </c>
      <c r="L61" s="127">
        <v>740.29</v>
      </c>
    </row>
    <row r="62" spans="2:12">
      <c r="B62" t="s">
        <v>87</v>
      </c>
      <c r="D62" s="26">
        <f t="shared" si="0"/>
        <v>2083</v>
      </c>
      <c r="K62" s="121" t="s">
        <v>87</v>
      </c>
      <c r="L62" s="127">
        <v>2083</v>
      </c>
    </row>
    <row r="63" spans="2:12">
      <c r="B63" t="s">
        <v>88</v>
      </c>
      <c r="D63" s="26">
        <f t="shared" si="0"/>
        <v>989.43</v>
      </c>
      <c r="K63" s="121" t="s">
        <v>88</v>
      </c>
      <c r="L63" s="127">
        <v>989.43</v>
      </c>
    </row>
    <row r="64" spans="2:12">
      <c r="B64" t="s">
        <v>89</v>
      </c>
      <c r="D64" s="26">
        <f t="shared" si="0"/>
        <v>1695.29</v>
      </c>
      <c r="K64" s="121" t="s">
        <v>89</v>
      </c>
      <c r="L64" s="127">
        <v>1695.29</v>
      </c>
    </row>
    <row r="65" spans="2:12">
      <c r="B65" t="s">
        <v>90</v>
      </c>
      <c r="D65" s="26">
        <f t="shared" si="0"/>
        <v>1331.86</v>
      </c>
      <c r="K65" s="121" t="s">
        <v>90</v>
      </c>
      <c r="L65" s="127">
        <v>1331.86</v>
      </c>
    </row>
    <row r="66" spans="2:12">
      <c r="B66" t="s">
        <v>91</v>
      </c>
      <c r="D66" s="26">
        <f t="shared" si="0"/>
        <v>2020.43</v>
      </c>
      <c r="K66" s="121" t="s">
        <v>91</v>
      </c>
      <c r="L66" s="127">
        <v>2020.43</v>
      </c>
    </row>
    <row r="67" spans="2:12">
      <c r="B67" t="s">
        <v>92</v>
      </c>
      <c r="D67" s="26">
        <f t="shared" si="0"/>
        <v>1887.57</v>
      </c>
      <c r="K67" s="121" t="s">
        <v>92</v>
      </c>
      <c r="L67" s="127">
        <v>1887.57</v>
      </c>
    </row>
    <row r="68" spans="2:12">
      <c r="B68" t="s">
        <v>93</v>
      </c>
      <c r="D68" s="26">
        <f t="shared" ref="D68:D104" si="1">VLOOKUP(B68,K:L,2,FALSE)</f>
        <v>1659.29</v>
      </c>
      <c r="K68" s="121" t="s">
        <v>93</v>
      </c>
      <c r="L68" s="127">
        <v>1659.29</v>
      </c>
    </row>
    <row r="69" spans="2:12">
      <c r="B69" t="s">
        <v>94</v>
      </c>
      <c r="D69" s="26">
        <f t="shared" si="1"/>
        <v>1725.29</v>
      </c>
      <c r="K69" s="121" t="s">
        <v>94</v>
      </c>
      <c r="L69" s="127">
        <v>1725.29</v>
      </c>
    </row>
    <row r="70" spans="2:12">
      <c r="B70" t="s">
        <v>95</v>
      </c>
      <c r="D70" s="26">
        <f t="shared" si="1"/>
        <v>658.29</v>
      </c>
      <c r="K70" s="121" t="s">
        <v>95</v>
      </c>
      <c r="L70" s="127">
        <v>658.29</v>
      </c>
    </row>
    <row r="71" spans="2:12">
      <c r="B71" t="s">
        <v>96</v>
      </c>
      <c r="D71" s="26">
        <f t="shared" si="1"/>
        <v>1475.71</v>
      </c>
      <c r="K71" s="121" t="s">
        <v>96</v>
      </c>
      <c r="L71" s="127">
        <v>1475.71</v>
      </c>
    </row>
    <row r="72" spans="2:12">
      <c r="B72" t="s">
        <v>97</v>
      </c>
      <c r="D72" s="26">
        <f t="shared" si="1"/>
        <v>1808.57</v>
      </c>
      <c r="K72" s="121" t="s">
        <v>97</v>
      </c>
      <c r="L72" s="127">
        <v>1808.57</v>
      </c>
    </row>
    <row r="73" spans="2:12">
      <c r="B73" t="s">
        <v>98</v>
      </c>
      <c r="D73" s="26">
        <f t="shared" si="1"/>
        <v>2282.86</v>
      </c>
      <c r="K73" s="121" t="s">
        <v>98</v>
      </c>
      <c r="L73" s="127">
        <v>2282.86</v>
      </c>
    </row>
    <row r="74" spans="2:12">
      <c r="B74" t="s">
        <v>99</v>
      </c>
      <c r="D74" s="26">
        <f t="shared" si="1"/>
        <v>2102.5700000000002</v>
      </c>
      <c r="K74" s="121" t="s">
        <v>99</v>
      </c>
      <c r="L74" s="127">
        <v>2102.5700000000002</v>
      </c>
    </row>
    <row r="75" spans="2:12">
      <c r="B75" t="s">
        <v>100</v>
      </c>
      <c r="D75" s="26">
        <f t="shared" si="1"/>
        <v>1527.14</v>
      </c>
      <c r="K75" s="121" t="s">
        <v>100</v>
      </c>
      <c r="L75" s="127">
        <v>1527.14</v>
      </c>
    </row>
    <row r="76" spans="2:12">
      <c r="B76" t="s">
        <v>101</v>
      </c>
      <c r="D76" s="26">
        <f t="shared" si="1"/>
        <v>1801.29</v>
      </c>
      <c r="K76" s="121" t="s">
        <v>101</v>
      </c>
      <c r="L76" s="127">
        <v>1801.29</v>
      </c>
    </row>
    <row r="77" spans="2:12">
      <c r="B77" t="s">
        <v>102</v>
      </c>
      <c r="D77" s="26">
        <f t="shared" si="1"/>
        <v>1840.43</v>
      </c>
      <c r="K77" s="121" t="s">
        <v>102</v>
      </c>
      <c r="L77" s="127">
        <v>1840.43</v>
      </c>
    </row>
    <row r="78" spans="2:12">
      <c r="B78" t="s">
        <v>103</v>
      </c>
      <c r="D78" s="26">
        <f t="shared" si="1"/>
        <v>1959.71</v>
      </c>
      <c r="K78" s="121" t="s">
        <v>103</v>
      </c>
      <c r="L78" s="127">
        <v>1959.71</v>
      </c>
    </row>
    <row r="79" spans="2:12">
      <c r="B79" t="s">
        <v>104</v>
      </c>
      <c r="D79" s="26">
        <f t="shared" si="1"/>
        <v>1388.43</v>
      </c>
      <c r="K79" s="121" t="s">
        <v>104</v>
      </c>
      <c r="L79" s="127">
        <v>1388.43</v>
      </c>
    </row>
    <row r="80" spans="2:12">
      <c r="B80" t="s">
        <v>105</v>
      </c>
      <c r="D80" s="26">
        <f t="shared" si="1"/>
        <v>1734.71</v>
      </c>
      <c r="K80" s="121" t="s">
        <v>105</v>
      </c>
      <c r="L80" s="127">
        <v>1734.71</v>
      </c>
    </row>
    <row r="81" spans="2:12">
      <c r="B81" t="s">
        <v>106</v>
      </c>
      <c r="D81" s="26">
        <f t="shared" si="1"/>
        <v>1733.86</v>
      </c>
      <c r="K81" s="121" t="s">
        <v>106</v>
      </c>
      <c r="L81" s="127">
        <v>1733.86</v>
      </c>
    </row>
    <row r="82" spans="2:12">
      <c r="B82" t="s">
        <v>107</v>
      </c>
      <c r="D82" s="26">
        <f t="shared" si="1"/>
        <v>851.29</v>
      </c>
      <c r="K82" s="121" t="s">
        <v>107</v>
      </c>
      <c r="L82" s="127">
        <v>851.29</v>
      </c>
    </row>
    <row r="83" spans="2:12">
      <c r="B83" t="s">
        <v>108</v>
      </c>
      <c r="D83" s="26">
        <f t="shared" si="1"/>
        <v>1751.43</v>
      </c>
      <c r="K83" s="121" t="s">
        <v>108</v>
      </c>
      <c r="L83" s="127">
        <v>1751.43</v>
      </c>
    </row>
    <row r="84" spans="2:12">
      <c r="B84" t="s">
        <v>109</v>
      </c>
      <c r="D84" s="26">
        <f t="shared" si="1"/>
        <v>1994.86</v>
      </c>
      <c r="K84" s="121" t="s">
        <v>109</v>
      </c>
      <c r="L84" s="127">
        <v>1994.86</v>
      </c>
    </row>
    <row r="85" spans="2:12">
      <c r="B85" t="s">
        <v>110</v>
      </c>
      <c r="D85" s="26">
        <f t="shared" si="1"/>
        <v>1948.43</v>
      </c>
      <c r="K85" s="121" t="s">
        <v>110</v>
      </c>
      <c r="L85" s="127">
        <v>1948.43</v>
      </c>
    </row>
    <row r="86" spans="2:12">
      <c r="B86" t="s">
        <v>111</v>
      </c>
      <c r="D86" s="26">
        <f t="shared" si="1"/>
        <v>2171.5700000000002</v>
      </c>
      <c r="K86" s="121" t="s">
        <v>111</v>
      </c>
      <c r="L86" s="127">
        <v>2171.5700000000002</v>
      </c>
    </row>
    <row r="87" spans="2:12">
      <c r="B87" t="s">
        <v>112</v>
      </c>
      <c r="D87" s="26">
        <f t="shared" si="1"/>
        <v>1730.14</v>
      </c>
      <c r="K87" s="121" t="s">
        <v>112</v>
      </c>
      <c r="L87" s="127">
        <v>1730.14</v>
      </c>
    </row>
    <row r="88" spans="2:12">
      <c r="B88" t="s">
        <v>113</v>
      </c>
      <c r="D88" s="26">
        <f t="shared" si="1"/>
        <v>1771.86</v>
      </c>
      <c r="K88" s="121" t="s">
        <v>113</v>
      </c>
      <c r="L88" s="127">
        <v>1771.86</v>
      </c>
    </row>
    <row r="89" spans="2:12">
      <c r="B89" t="s">
        <v>114</v>
      </c>
      <c r="D89" s="26">
        <f t="shared" si="1"/>
        <v>1118.57</v>
      </c>
      <c r="K89" s="121" t="s">
        <v>114</v>
      </c>
      <c r="L89" s="127">
        <v>1118.57</v>
      </c>
    </row>
    <row r="90" spans="2:12">
      <c r="B90" t="s">
        <v>115</v>
      </c>
      <c r="D90" s="26">
        <f t="shared" si="1"/>
        <v>882.43</v>
      </c>
      <c r="K90" s="121" t="s">
        <v>115</v>
      </c>
      <c r="L90" s="127">
        <v>882.43</v>
      </c>
    </row>
    <row r="91" spans="2:12">
      <c r="B91" t="s">
        <v>116</v>
      </c>
      <c r="D91" s="26">
        <f t="shared" si="1"/>
        <v>1046.71</v>
      </c>
      <c r="K91" s="121" t="s">
        <v>116</v>
      </c>
      <c r="L91" s="127">
        <v>1046.71</v>
      </c>
    </row>
    <row r="92" spans="2:12">
      <c r="B92" t="s">
        <v>117</v>
      </c>
      <c r="D92" s="26">
        <f t="shared" si="1"/>
        <v>1293.71</v>
      </c>
      <c r="K92" s="121" t="s">
        <v>117</v>
      </c>
      <c r="L92" s="127">
        <v>1293.71</v>
      </c>
    </row>
    <row r="93" spans="2:12">
      <c r="B93" t="s">
        <v>118</v>
      </c>
      <c r="D93" s="26">
        <f t="shared" si="1"/>
        <v>1110.29</v>
      </c>
      <c r="K93" s="121" t="s">
        <v>118</v>
      </c>
      <c r="L93" s="127">
        <v>1110.29</v>
      </c>
    </row>
    <row r="94" spans="2:12">
      <c r="B94" t="s">
        <v>119</v>
      </c>
      <c r="D94" s="26">
        <f t="shared" si="1"/>
        <v>1564</v>
      </c>
      <c r="K94" s="121" t="s">
        <v>119</v>
      </c>
      <c r="L94" s="127">
        <v>1564</v>
      </c>
    </row>
    <row r="95" spans="2:12">
      <c r="B95" t="s">
        <v>120</v>
      </c>
      <c r="D95" s="26">
        <f t="shared" si="1"/>
        <v>785.71</v>
      </c>
      <c r="K95" s="121" t="s">
        <v>120</v>
      </c>
      <c r="L95" s="127">
        <v>785.71</v>
      </c>
    </row>
    <row r="96" spans="2:12">
      <c r="B96" t="s">
        <v>121</v>
      </c>
      <c r="D96" s="26">
        <f t="shared" si="1"/>
        <v>1735.57</v>
      </c>
      <c r="K96" s="121" t="s">
        <v>121</v>
      </c>
      <c r="L96" s="127">
        <v>1735.57</v>
      </c>
    </row>
    <row r="97" spans="2:12">
      <c r="B97" t="s">
        <v>122</v>
      </c>
      <c r="D97" s="26">
        <f t="shared" si="1"/>
        <v>1790.71</v>
      </c>
      <c r="K97" s="121" t="s">
        <v>122</v>
      </c>
      <c r="L97" s="127">
        <v>1790.71</v>
      </c>
    </row>
    <row r="98" spans="2:12">
      <c r="B98" t="s">
        <v>123</v>
      </c>
      <c r="D98" s="26">
        <f t="shared" si="1"/>
        <v>1634.57</v>
      </c>
      <c r="K98" s="121" t="s">
        <v>123</v>
      </c>
      <c r="L98" s="127">
        <v>1634.57</v>
      </c>
    </row>
    <row r="99" spans="2:12">
      <c r="B99" t="s">
        <v>124</v>
      </c>
      <c r="D99" s="26">
        <f t="shared" si="1"/>
        <v>1842.14</v>
      </c>
      <c r="K99" s="121" t="s">
        <v>124</v>
      </c>
      <c r="L99" s="127">
        <v>1842.14</v>
      </c>
    </row>
    <row r="100" spans="2:12">
      <c r="B100" t="s">
        <v>125</v>
      </c>
      <c r="D100" s="26">
        <f t="shared" si="1"/>
        <v>1726.29</v>
      </c>
      <c r="K100" s="121" t="s">
        <v>125</v>
      </c>
      <c r="L100" s="127">
        <v>1726.29</v>
      </c>
    </row>
    <row r="101" spans="2:12">
      <c r="B101" t="s">
        <v>126</v>
      </c>
      <c r="D101" s="26">
        <f t="shared" si="1"/>
        <v>1738.71</v>
      </c>
      <c r="K101" s="121" t="s">
        <v>126</v>
      </c>
      <c r="L101" s="127">
        <v>1738.71</v>
      </c>
    </row>
    <row r="102" spans="2:12">
      <c r="D102" s="26"/>
      <c r="K102" s="121" t="s">
        <v>140</v>
      </c>
      <c r="L102" s="127">
        <v>1665.14</v>
      </c>
    </row>
    <row r="103" spans="2:12">
      <c r="D103" s="26"/>
    </row>
    <row r="104" spans="2:12">
      <c r="B104" t="s">
        <v>140</v>
      </c>
      <c r="D104" s="26">
        <f t="shared" si="1"/>
        <v>1665.14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workbookViewId="0">
      <selection activeCell="F14" sqref="F14"/>
    </sheetView>
  </sheetViews>
  <sheetFormatPr defaultColWidth="8.85546875" defaultRowHeight="12.75"/>
  <cols>
    <col min="2" max="2" width="33" bestFit="1" customWidth="1"/>
    <col min="3" max="3" width="13.85546875" bestFit="1" customWidth="1"/>
    <col min="4" max="4" width="12.28515625" bestFit="1" customWidth="1"/>
    <col min="5" max="5" width="15" customWidth="1"/>
    <col min="6" max="6" width="17" customWidth="1"/>
    <col min="7" max="7" width="19" bestFit="1" customWidth="1"/>
  </cols>
  <sheetData>
    <row r="1" spans="1:10">
      <c r="B1" s="28" t="s">
        <v>188</v>
      </c>
    </row>
    <row r="4" spans="1:10">
      <c r="C4" t="s">
        <v>0</v>
      </c>
    </row>
    <row r="5" spans="1:10">
      <c r="C5">
        <v>1</v>
      </c>
      <c r="D5">
        <v>2</v>
      </c>
      <c r="E5">
        <v>3</v>
      </c>
      <c r="F5">
        <v>4</v>
      </c>
      <c r="G5" s="121" t="s">
        <v>14</v>
      </c>
      <c r="H5" s="121">
        <f>worksheet_FY18!H5</f>
        <v>1</v>
      </c>
      <c r="I5" s="121"/>
      <c r="J5" s="121"/>
    </row>
    <row r="6" spans="1:10">
      <c r="C6" t="s">
        <v>1</v>
      </c>
      <c r="D6" t="s">
        <v>2</v>
      </c>
      <c r="E6" t="s">
        <v>3</v>
      </c>
      <c r="F6" s="28" t="s">
        <v>184</v>
      </c>
      <c r="G6" s="121" t="s">
        <v>15</v>
      </c>
      <c r="H6" s="121"/>
      <c r="I6" s="121"/>
      <c r="J6" s="121"/>
    </row>
    <row r="7" spans="1:10">
      <c r="A7">
        <v>1</v>
      </c>
      <c r="B7" t="s">
        <v>13</v>
      </c>
      <c r="C7">
        <f>LevyCalculator!F17</f>
        <v>12.1</v>
      </c>
      <c r="D7">
        <f>C7</f>
        <v>12.1</v>
      </c>
      <c r="E7">
        <f>C7</f>
        <v>12.1</v>
      </c>
      <c r="F7">
        <f>C7</f>
        <v>12.1</v>
      </c>
      <c r="G7" s="121" t="s">
        <v>16</v>
      </c>
      <c r="H7" s="121" t="b">
        <f>worksheet_FY18!H7</f>
        <v>1</v>
      </c>
      <c r="I7" s="121">
        <f>IF(H7=TRUE,1,0)</f>
        <v>1</v>
      </c>
      <c r="J7" s="122">
        <f>IF(H5=1,I7,0)</f>
        <v>1</v>
      </c>
    </row>
    <row r="8" spans="1:10">
      <c r="A8">
        <v>2</v>
      </c>
      <c r="B8" t="s">
        <v>4</v>
      </c>
      <c r="C8" s="13">
        <v>0.55620899999999995</v>
      </c>
      <c r="D8" s="13">
        <v>0.9</v>
      </c>
      <c r="E8" s="13">
        <v>0.54447999999999996</v>
      </c>
      <c r="F8" s="13">
        <v>0.78749999999999998</v>
      </c>
      <c r="G8" s="121" t="s">
        <v>17</v>
      </c>
      <c r="H8" s="121" t="b">
        <f>worksheet_FY18!H8</f>
        <v>0</v>
      </c>
      <c r="I8" s="121">
        <f>IF(H8=TRUE,2,0)</f>
        <v>0</v>
      </c>
      <c r="J8" s="122">
        <f>IF(H5=1,I8,0)</f>
        <v>0</v>
      </c>
    </row>
    <row r="9" spans="1:10">
      <c r="A9">
        <v>3</v>
      </c>
      <c r="B9" t="s">
        <v>5</v>
      </c>
      <c r="C9" s="1">
        <f>LevyCalculator!F15</f>
        <v>1000</v>
      </c>
      <c r="D9" s="1">
        <f>C9</f>
        <v>1000</v>
      </c>
      <c r="E9" s="1">
        <f>agvalues!I5</f>
        <v>15866.315444319998</v>
      </c>
      <c r="F9" s="15">
        <f>D9</f>
        <v>1000</v>
      </c>
      <c r="G9" s="121" t="s">
        <v>18</v>
      </c>
      <c r="H9" s="121" t="b">
        <f>IF(H8=TRUE,IF(H7=TRUE,TRUE,FALSE),FALSE)</f>
        <v>0</v>
      </c>
      <c r="I9" s="121">
        <f>IF(H9=TRUE,2,0)</f>
        <v>0</v>
      </c>
      <c r="J9" s="122">
        <f>IF(H5=1,I9,0)</f>
        <v>0</v>
      </c>
    </row>
    <row r="10" spans="1:10">
      <c r="A10">
        <v>4</v>
      </c>
      <c r="B10" t="s">
        <v>6</v>
      </c>
      <c r="C10" s="1">
        <v>4850</v>
      </c>
      <c r="G10" s="121"/>
      <c r="H10" s="121"/>
      <c r="I10" s="121">
        <f>SUM(I7:I9)</f>
        <v>1</v>
      </c>
      <c r="J10" s="122">
        <f>IF(H5=1,I10,0)</f>
        <v>1</v>
      </c>
    </row>
    <row r="11" spans="1:10">
      <c r="A11">
        <v>5</v>
      </c>
      <c r="B11" t="s">
        <v>7</v>
      </c>
      <c r="C11" s="1">
        <v>1850</v>
      </c>
    </row>
    <row r="12" spans="1:10">
      <c r="A12">
        <v>6</v>
      </c>
      <c r="B12" t="s">
        <v>8</v>
      </c>
      <c r="C12" s="1">
        <f>C8*C9</f>
        <v>556.20899999999995</v>
      </c>
      <c r="D12" s="1">
        <f>D8*D9</f>
        <v>900</v>
      </c>
      <c r="E12" s="1">
        <f>agvalues!I5</f>
        <v>15866.315444319998</v>
      </c>
      <c r="F12" s="1">
        <f>F8*F9</f>
        <v>787.5</v>
      </c>
    </row>
    <row r="13" spans="1:10">
      <c r="A13">
        <v>7</v>
      </c>
      <c r="B13" t="s">
        <v>9</v>
      </c>
      <c r="C13" s="1">
        <f>(C9*C8)-C10</f>
        <v>-4293.7910000000002</v>
      </c>
    </row>
    <row r="14" spans="1:10">
      <c r="A14">
        <v>8</v>
      </c>
      <c r="B14" t="s">
        <v>19</v>
      </c>
      <c r="C14" s="1">
        <f>(C9*C8)-C11</f>
        <v>-1293.7910000000002</v>
      </c>
    </row>
    <row r="15" spans="1:10">
      <c r="A15">
        <v>9</v>
      </c>
      <c r="B15" t="s">
        <v>10</v>
      </c>
      <c r="C15" s="1">
        <f>(C9*C8)-C10-C11</f>
        <v>-6143.7910000000002</v>
      </c>
    </row>
    <row r="16" spans="1:10">
      <c r="A16">
        <v>10</v>
      </c>
      <c r="B16" s="28" t="s">
        <v>138</v>
      </c>
      <c r="C16" s="1">
        <f>C$7*C12/1000</f>
        <v>6.7301288999999986</v>
      </c>
    </row>
    <row r="17" spans="1:5">
      <c r="A17">
        <v>11</v>
      </c>
      <c r="B17" t="s">
        <v>11</v>
      </c>
      <c r="C17" s="1">
        <f>C$7*C13/1000</f>
        <v>-51.954871100000005</v>
      </c>
    </row>
    <row r="18" spans="1:5">
      <c r="A18">
        <v>12</v>
      </c>
      <c r="B18" t="s">
        <v>20</v>
      </c>
      <c r="C18" s="1">
        <f>C14*C7/1000</f>
        <v>-15.654871100000003</v>
      </c>
    </row>
    <row r="19" spans="1:5">
      <c r="A19">
        <v>13</v>
      </c>
      <c r="B19" t="s">
        <v>12</v>
      </c>
      <c r="C19" s="1">
        <f>C$7*C15/1000</f>
        <v>-74.339871100000011</v>
      </c>
    </row>
    <row r="20" spans="1:5">
      <c r="B20" t="s">
        <v>21</v>
      </c>
    </row>
    <row r="21" spans="1:5">
      <c r="D21" s="1"/>
      <c r="E21" s="1"/>
    </row>
    <row r="22" spans="1:5">
      <c r="B22" t="s">
        <v>22</v>
      </c>
      <c r="C22" s="1">
        <f>IF(I10=1,C17,IF(I10=2,C18,IF(I10=5,C19,C16)))</f>
        <v>-51.954871100000005</v>
      </c>
      <c r="D22" s="1">
        <f>(D9*D8)*D7/1000</f>
        <v>10.89</v>
      </c>
      <c r="E22" s="1">
        <f>(E9*E8)*E7/1000</f>
        <v>104.53058634079255</v>
      </c>
    </row>
    <row r="24" spans="1:5">
      <c r="B24" t="s">
        <v>23</v>
      </c>
      <c r="C24" s="1">
        <f>HLOOKUP(H5,C5:E22,18,FALSE)</f>
        <v>-51.954871100000005</v>
      </c>
    </row>
    <row r="27" spans="1:5">
      <c r="B27" s="28" t="s">
        <v>153</v>
      </c>
    </row>
  </sheetData>
  <pageMargins left="0.75" right="0.75" top="1" bottom="1" header="0.5" footer="0.5"/>
  <pageSetup orientation="portrait" verticalDpi="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J27"/>
  <sheetViews>
    <sheetView workbookViewId="0">
      <selection activeCell="C5" sqref="C5:F6"/>
    </sheetView>
  </sheetViews>
  <sheetFormatPr defaultColWidth="8.85546875" defaultRowHeight="12.75"/>
  <cols>
    <col min="2" max="2" width="33" bestFit="1" customWidth="1"/>
    <col min="3" max="3" width="13.85546875" bestFit="1" customWidth="1"/>
    <col min="4" max="4" width="12.28515625" bestFit="1" customWidth="1"/>
    <col min="5" max="5" width="15" customWidth="1"/>
    <col min="6" max="6" width="17" customWidth="1"/>
    <col min="7" max="7" width="19" bestFit="1" customWidth="1"/>
  </cols>
  <sheetData>
    <row r="1" spans="1:10">
      <c r="B1" s="28" t="s">
        <v>180</v>
      </c>
    </row>
    <row r="4" spans="1:10">
      <c r="C4" t="s">
        <v>0</v>
      </c>
    </row>
    <row r="5" spans="1:10">
      <c r="C5">
        <v>1</v>
      </c>
      <c r="D5">
        <v>2</v>
      </c>
      <c r="E5">
        <v>3</v>
      </c>
      <c r="F5">
        <v>4</v>
      </c>
      <c r="G5" s="121" t="s">
        <v>14</v>
      </c>
      <c r="H5" s="121">
        <v>1</v>
      </c>
      <c r="I5" s="121"/>
      <c r="J5" s="121"/>
    </row>
    <row r="6" spans="1:10">
      <c r="C6" t="s">
        <v>1</v>
      </c>
      <c r="D6" t="s">
        <v>2</v>
      </c>
      <c r="E6" t="s">
        <v>3</v>
      </c>
      <c r="F6" s="28" t="s">
        <v>184</v>
      </c>
      <c r="G6" s="121" t="s">
        <v>15</v>
      </c>
      <c r="H6" s="121"/>
      <c r="I6" s="121"/>
      <c r="J6" s="121"/>
    </row>
    <row r="7" spans="1:10">
      <c r="A7">
        <v>1</v>
      </c>
      <c r="B7" t="s">
        <v>13</v>
      </c>
      <c r="C7">
        <f>LevyCalculator!I17</f>
        <v>15.35</v>
      </c>
      <c r="D7">
        <f>C7</f>
        <v>15.35</v>
      </c>
      <c r="E7">
        <f>C7</f>
        <v>15.35</v>
      </c>
      <c r="F7">
        <f>C7</f>
        <v>15.35</v>
      </c>
      <c r="G7" s="121" t="s">
        <v>16</v>
      </c>
      <c r="H7" s="121" t="b">
        <v>1</v>
      </c>
      <c r="I7" s="121">
        <f>IF(H7=TRUE,1,0)</f>
        <v>1</v>
      </c>
      <c r="J7" s="122">
        <f>IF(H5=1,I7,0)</f>
        <v>1</v>
      </c>
    </row>
    <row r="8" spans="1:10">
      <c r="A8">
        <v>2</v>
      </c>
      <c r="B8" t="s">
        <v>4</v>
      </c>
      <c r="C8" s="13">
        <v>0.56939099999999998</v>
      </c>
      <c r="D8" s="13">
        <v>0.9</v>
      </c>
      <c r="E8" s="13">
        <v>0.47499599999999997</v>
      </c>
      <c r="F8" s="13">
        <v>0.82499999999999996</v>
      </c>
      <c r="G8" s="121" t="s">
        <v>17</v>
      </c>
      <c r="H8" s="121" t="b">
        <v>0</v>
      </c>
      <c r="I8" s="121">
        <f>IF(H8=TRUE,2,0)</f>
        <v>0</v>
      </c>
      <c r="J8" s="122">
        <f>IF(H5=1,I8,0)</f>
        <v>0</v>
      </c>
    </row>
    <row r="9" spans="1:10">
      <c r="A9">
        <v>3</v>
      </c>
      <c r="B9" t="s">
        <v>5</v>
      </c>
      <c r="C9" s="1">
        <f>LevyCalculator!F15</f>
        <v>1000</v>
      </c>
      <c r="D9" s="1">
        <f>C9</f>
        <v>1000</v>
      </c>
      <c r="E9" s="1">
        <f>agvalues!I5</f>
        <v>15866.315444319998</v>
      </c>
      <c r="F9" s="15">
        <f>D9</f>
        <v>1000</v>
      </c>
      <c r="G9" s="121" t="s">
        <v>18</v>
      </c>
      <c r="H9" s="121" t="b">
        <f>IF(H8=TRUE,IF(H7=TRUE,TRUE,FALSE),FALSE)</f>
        <v>0</v>
      </c>
      <c r="I9" s="121">
        <f>IF(H9=TRUE,2,0)</f>
        <v>0</v>
      </c>
      <c r="J9" s="122">
        <f>IF(H5=1,I9,0)</f>
        <v>0</v>
      </c>
    </row>
    <row r="10" spans="1:10">
      <c r="A10">
        <v>4</v>
      </c>
      <c r="B10" t="s">
        <v>6</v>
      </c>
      <c r="C10" s="1">
        <v>4850</v>
      </c>
      <c r="G10" s="121"/>
      <c r="H10" s="121"/>
      <c r="I10" s="121">
        <f>SUM(I7:I9)</f>
        <v>1</v>
      </c>
      <c r="J10" s="122">
        <f>IF(H5=1,I10,0)</f>
        <v>1</v>
      </c>
    </row>
    <row r="11" spans="1:10">
      <c r="A11">
        <v>5</v>
      </c>
      <c r="B11" t="s">
        <v>7</v>
      </c>
      <c r="C11" s="1">
        <v>1850</v>
      </c>
    </row>
    <row r="12" spans="1:10">
      <c r="A12">
        <v>6</v>
      </c>
      <c r="B12" t="s">
        <v>8</v>
      </c>
      <c r="C12" s="1">
        <f>C8*C9</f>
        <v>569.39099999999996</v>
      </c>
      <c r="D12" s="1">
        <f>D8*D9</f>
        <v>900</v>
      </c>
      <c r="E12" s="15">
        <f>agvalues!I2</f>
        <v>18166.914746262002</v>
      </c>
      <c r="F12" s="1">
        <f>F8*F9</f>
        <v>825</v>
      </c>
    </row>
    <row r="13" spans="1:10">
      <c r="A13">
        <v>7</v>
      </c>
      <c r="B13" t="s">
        <v>9</v>
      </c>
      <c r="C13" s="1">
        <f>(C9*C8)-C10</f>
        <v>-4280.6090000000004</v>
      </c>
    </row>
    <row r="14" spans="1:10">
      <c r="A14">
        <v>8</v>
      </c>
      <c r="B14" t="s">
        <v>19</v>
      </c>
      <c r="C14" s="1">
        <f>(C9*C8)-C11</f>
        <v>-1280.6089999999999</v>
      </c>
    </row>
    <row r="15" spans="1:10">
      <c r="A15">
        <v>9</v>
      </c>
      <c r="B15" t="s">
        <v>10</v>
      </c>
      <c r="C15" s="1">
        <f>(C9*C8)-C10-C11</f>
        <v>-6130.6090000000004</v>
      </c>
    </row>
    <row r="16" spans="1:10">
      <c r="A16">
        <v>10</v>
      </c>
      <c r="B16" s="28" t="s">
        <v>138</v>
      </c>
      <c r="C16" s="1">
        <f>C$7*C12/1000</f>
        <v>8.7401518499999984</v>
      </c>
    </row>
    <row r="17" spans="1:5">
      <c r="A17">
        <v>11</v>
      </c>
      <c r="B17" t="s">
        <v>11</v>
      </c>
      <c r="C17" s="1">
        <f>C$7*C13/1000</f>
        <v>-65.707348150000001</v>
      </c>
    </row>
    <row r="18" spans="1:5">
      <c r="A18">
        <v>12</v>
      </c>
      <c r="B18" t="s">
        <v>20</v>
      </c>
      <c r="C18" s="1">
        <f>C14*C7/1000</f>
        <v>-19.657348149999997</v>
      </c>
    </row>
    <row r="19" spans="1:5">
      <c r="A19">
        <v>13</v>
      </c>
      <c r="B19" t="s">
        <v>12</v>
      </c>
      <c r="C19" s="1">
        <f>C$7*C15/1000</f>
        <v>-94.104848150000009</v>
      </c>
    </row>
    <row r="20" spans="1:5">
      <c r="B20" t="s">
        <v>21</v>
      </c>
    </row>
    <row r="21" spans="1:5">
      <c r="D21" s="1"/>
      <c r="E21" s="1"/>
    </row>
    <row r="22" spans="1:5">
      <c r="B22" t="s">
        <v>22</v>
      </c>
      <c r="C22" s="1">
        <f>IF(I10=1,C17,IF(I10=2,C18,IF(I10=5,C19,C16)))</f>
        <v>-65.707348150000001</v>
      </c>
      <c r="D22" s="1">
        <f>(D9*D8)*D7/1000</f>
        <v>13.815</v>
      </c>
      <c r="E22" s="1">
        <f>(E9*E8)*E7/1000</f>
        <v>115.68429829162989</v>
      </c>
    </row>
    <row r="24" spans="1:5">
      <c r="B24" t="s">
        <v>23</v>
      </c>
      <c r="C24" s="1">
        <f>HLOOKUP(H5,C5:E22,18,FALSE)</f>
        <v>-65.707348150000001</v>
      </c>
    </row>
    <row r="27" spans="1:5">
      <c r="B27" s="28" t="s">
        <v>153</v>
      </c>
    </row>
  </sheetData>
  <phoneticPr fontId="0" type="noConversion"/>
  <pageMargins left="0.75" right="0.75" top="1" bottom="1" header="0.5" footer="0.5"/>
  <pageSetup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7"/>
  <sheetViews>
    <sheetView workbookViewId="0">
      <selection activeCell="F8" sqref="F8"/>
    </sheetView>
  </sheetViews>
  <sheetFormatPr defaultColWidth="8.85546875" defaultRowHeight="12.75"/>
  <cols>
    <col min="2" max="2" width="33" bestFit="1" customWidth="1"/>
    <col min="3" max="3" width="13.85546875" bestFit="1" customWidth="1"/>
    <col min="4" max="4" width="12.28515625" bestFit="1" customWidth="1"/>
    <col min="5" max="5" width="15" customWidth="1"/>
    <col min="6" max="6" width="17.28515625" customWidth="1"/>
    <col min="7" max="7" width="19" bestFit="1" customWidth="1"/>
  </cols>
  <sheetData>
    <row r="1" spans="1:10">
      <c r="B1" t="s">
        <v>144</v>
      </c>
    </row>
    <row r="4" spans="1:10">
      <c r="C4" t="s">
        <v>0</v>
      </c>
    </row>
    <row r="5" spans="1:10">
      <c r="C5">
        <v>1</v>
      </c>
      <c r="D5">
        <v>2</v>
      </c>
      <c r="E5">
        <v>3</v>
      </c>
      <c r="F5">
        <v>4</v>
      </c>
      <c r="G5" s="121" t="s">
        <v>14</v>
      </c>
      <c r="H5" s="121">
        <f>worksheet_FY18!H5</f>
        <v>1</v>
      </c>
      <c r="I5" s="121"/>
      <c r="J5" s="121"/>
    </row>
    <row r="6" spans="1:10">
      <c r="C6" t="s">
        <v>1</v>
      </c>
      <c r="D6" t="s">
        <v>2</v>
      </c>
      <c r="E6" t="s">
        <v>3</v>
      </c>
      <c r="F6" s="28" t="s">
        <v>186</v>
      </c>
      <c r="G6" s="121" t="s">
        <v>15</v>
      </c>
      <c r="H6" s="121"/>
      <c r="I6" s="121"/>
      <c r="J6" s="121"/>
    </row>
    <row r="7" spans="1:10">
      <c r="A7">
        <v>1</v>
      </c>
      <c r="B7" t="s">
        <v>13</v>
      </c>
      <c r="C7">
        <f>LevyCalculator!I17</f>
        <v>15.35</v>
      </c>
      <c r="D7">
        <f>C7</f>
        <v>15.35</v>
      </c>
      <c r="E7">
        <f>C7</f>
        <v>15.35</v>
      </c>
      <c r="F7">
        <f>C7</f>
        <v>15.35</v>
      </c>
      <c r="G7" s="121" t="s">
        <v>16</v>
      </c>
      <c r="H7" s="121" t="b">
        <f>worksheet_FY18!H7</f>
        <v>1</v>
      </c>
      <c r="I7" s="121">
        <f>worksheet_FY18!I7</f>
        <v>1</v>
      </c>
      <c r="J7" s="121">
        <f>worksheet_FY18!J7</f>
        <v>1</v>
      </c>
    </row>
    <row r="8" spans="1:10">
      <c r="A8">
        <v>2</v>
      </c>
      <c r="B8" t="s">
        <v>4</v>
      </c>
      <c r="C8" s="13">
        <v>0.55625899999999995</v>
      </c>
      <c r="D8" s="13">
        <v>0.9</v>
      </c>
      <c r="E8" s="13">
        <v>0.46106799999999998</v>
      </c>
      <c r="G8" s="121" t="s">
        <v>17</v>
      </c>
      <c r="H8" s="121" t="b">
        <f>worksheet_FY18!H8</f>
        <v>0</v>
      </c>
      <c r="I8" s="121">
        <f>worksheet_FY18!I8</f>
        <v>0</v>
      </c>
      <c r="J8" s="121">
        <f>worksheet_FY18!J8</f>
        <v>0</v>
      </c>
    </row>
    <row r="9" spans="1:10">
      <c r="A9">
        <v>3</v>
      </c>
      <c r="B9" t="s">
        <v>5</v>
      </c>
      <c r="C9" s="1">
        <f>LevyCalculator!F15</f>
        <v>1000</v>
      </c>
      <c r="D9" s="1">
        <f>C9</f>
        <v>1000</v>
      </c>
      <c r="E9" s="1">
        <f>agvalues!I5</f>
        <v>15866.315444319998</v>
      </c>
      <c r="G9" s="121" t="s">
        <v>18</v>
      </c>
      <c r="H9" s="121" t="b">
        <f>worksheet_FY18!H9</f>
        <v>0</v>
      </c>
      <c r="I9" s="121">
        <f>worksheet_FY18!I9</f>
        <v>0</v>
      </c>
      <c r="J9" s="121">
        <f>worksheet_FY18!J9</f>
        <v>0</v>
      </c>
    </row>
    <row r="10" spans="1:10">
      <c r="A10">
        <v>4</v>
      </c>
      <c r="B10" t="s">
        <v>6</v>
      </c>
      <c r="C10" s="1">
        <v>4850</v>
      </c>
      <c r="G10" s="121"/>
      <c r="H10" s="121"/>
      <c r="I10" s="121">
        <f>SUM(I7:I9)</f>
        <v>1</v>
      </c>
      <c r="J10" s="122">
        <f>IF(H5=1,I10,0)</f>
        <v>1</v>
      </c>
    </row>
    <row r="11" spans="1:10">
      <c r="A11">
        <v>5</v>
      </c>
      <c r="B11" t="s">
        <v>7</v>
      </c>
      <c r="C11" s="1">
        <v>1850</v>
      </c>
      <c r="G11" s="121"/>
      <c r="H11" s="121"/>
      <c r="I11" s="121"/>
      <c r="J11" s="121"/>
    </row>
    <row r="12" spans="1:10">
      <c r="A12">
        <v>6</v>
      </c>
      <c r="B12" t="s">
        <v>8</v>
      </c>
      <c r="C12" s="1">
        <f>C8*C9</f>
        <v>556.2589999999999</v>
      </c>
      <c r="D12" s="1">
        <f>D8*D9</f>
        <v>900</v>
      </c>
      <c r="E12" s="15">
        <f>agvalues!I2</f>
        <v>18166.914746262002</v>
      </c>
    </row>
    <row r="13" spans="1:10">
      <c r="A13">
        <v>7</v>
      </c>
      <c r="B13" t="s">
        <v>9</v>
      </c>
      <c r="C13" s="1">
        <f>(C9*C8)-C10</f>
        <v>-4293.741</v>
      </c>
    </row>
    <row r="14" spans="1:10">
      <c r="A14">
        <v>8</v>
      </c>
      <c r="B14" t="s">
        <v>19</v>
      </c>
      <c r="C14" s="1">
        <f>(C9*C8)-C11</f>
        <v>-1293.741</v>
      </c>
    </row>
    <row r="15" spans="1:10">
      <c r="A15">
        <v>9</v>
      </c>
      <c r="B15" t="s">
        <v>10</v>
      </c>
      <c r="C15" s="1">
        <f>(C9*C8)-C10-C11</f>
        <v>-6143.741</v>
      </c>
    </row>
    <row r="16" spans="1:10">
      <c r="A16">
        <v>10</v>
      </c>
      <c r="B16" s="28" t="s">
        <v>138</v>
      </c>
      <c r="C16" s="1">
        <f>C$7*C12/1000</f>
        <v>8.5385756499999985</v>
      </c>
    </row>
    <row r="17" spans="1:5">
      <c r="A17">
        <v>11</v>
      </c>
      <c r="B17" t="s">
        <v>11</v>
      </c>
      <c r="C17" s="1">
        <f>C$7*C13/1000</f>
        <v>-65.908924350000007</v>
      </c>
    </row>
    <row r="18" spans="1:5">
      <c r="A18">
        <v>12</v>
      </c>
      <c r="B18" t="s">
        <v>20</v>
      </c>
      <c r="C18" s="1">
        <f>C14*C7/1000</f>
        <v>-19.858924349999999</v>
      </c>
    </row>
    <row r="19" spans="1:5">
      <c r="A19">
        <v>13</v>
      </c>
      <c r="B19" t="s">
        <v>12</v>
      </c>
      <c r="C19" s="1">
        <f>C$7*C15/1000</f>
        <v>-94.30642435</v>
      </c>
    </row>
    <row r="20" spans="1:5">
      <c r="B20" t="s">
        <v>21</v>
      </c>
    </row>
    <row r="21" spans="1:5">
      <c r="D21" s="1"/>
      <c r="E21" s="1"/>
    </row>
    <row r="22" spans="1:5">
      <c r="B22" t="s">
        <v>22</v>
      </c>
      <c r="C22" s="1">
        <f>IF(I10=1,C17,IF(I10=2,C18,IF(I10=5,C19,C16)))</f>
        <v>-65.908924350000007</v>
      </c>
      <c r="D22" s="1">
        <f>(D9*D8)*D7/1000</f>
        <v>13.815</v>
      </c>
      <c r="E22" s="1">
        <f>(E9*E8)*E7/1000</f>
        <v>112.29216255447459</v>
      </c>
    </row>
    <row r="24" spans="1:5">
      <c r="B24" t="s">
        <v>23</v>
      </c>
      <c r="C24" s="1">
        <f>HLOOKUP(H5,C5:E22,18,FALSE)</f>
        <v>-65.908924350000007</v>
      </c>
    </row>
    <row r="27" spans="1:5">
      <c r="B27" s="28" t="s">
        <v>153</v>
      </c>
    </row>
  </sheetData>
  <pageMargins left="0.75" right="0.75" top="1" bottom="1" header="0.5" footer="0.5"/>
  <pageSetup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J24"/>
  <sheetViews>
    <sheetView workbookViewId="0">
      <selection activeCell="H5" sqref="H5"/>
    </sheetView>
  </sheetViews>
  <sheetFormatPr defaultColWidth="8.85546875" defaultRowHeight="12.75"/>
  <cols>
    <col min="2" max="2" width="33" bestFit="1" customWidth="1"/>
    <col min="3" max="3" width="13.85546875" bestFit="1" customWidth="1"/>
    <col min="4" max="4" width="12.28515625" bestFit="1" customWidth="1"/>
    <col min="5" max="5" width="13.28515625" bestFit="1" customWidth="1"/>
    <col min="7" max="7" width="19" bestFit="1" customWidth="1"/>
  </cols>
  <sheetData>
    <row r="1" spans="1:10">
      <c r="B1" s="28" t="s">
        <v>152</v>
      </c>
    </row>
    <row r="2" spans="1:10" ht="16.5" thickBot="1">
      <c r="C2" s="41">
        <v>0.55733500000000002</v>
      </c>
      <c r="E2" s="41">
        <v>0.447021</v>
      </c>
    </row>
    <row r="3" spans="1:10">
      <c r="G3" s="43" t="s">
        <v>154</v>
      </c>
      <c r="H3" s="44"/>
      <c r="I3" s="44"/>
      <c r="J3" s="45"/>
    </row>
    <row r="4" spans="1:10">
      <c r="C4" t="s">
        <v>0</v>
      </c>
      <c r="G4" s="46"/>
      <c r="J4" s="47"/>
    </row>
    <row r="5" spans="1:10">
      <c r="C5">
        <v>1</v>
      </c>
      <c r="D5">
        <v>2</v>
      </c>
      <c r="E5">
        <v>3</v>
      </c>
      <c r="G5" s="46" t="s">
        <v>14</v>
      </c>
      <c r="H5">
        <f>worksheet_FY18!H5</f>
        <v>1</v>
      </c>
      <c r="J5" s="47"/>
    </row>
    <row r="6" spans="1:10">
      <c r="C6" t="s">
        <v>1</v>
      </c>
      <c r="D6" t="s">
        <v>2</v>
      </c>
      <c r="E6" t="s">
        <v>3</v>
      </c>
      <c r="G6" s="46" t="s">
        <v>15</v>
      </c>
      <c r="J6" s="47"/>
    </row>
    <row r="7" spans="1:10">
      <c r="A7">
        <v>1</v>
      </c>
      <c r="B7" t="s">
        <v>13</v>
      </c>
      <c r="C7" s="42">
        <f>LevyCalculator!F17</f>
        <v>12.1</v>
      </c>
      <c r="D7">
        <f>C7</f>
        <v>12.1</v>
      </c>
      <c r="E7">
        <f>C7</f>
        <v>12.1</v>
      </c>
      <c r="G7" s="46" t="s">
        <v>16</v>
      </c>
      <c r="H7" t="b">
        <f>worksheet_FY18!H7</f>
        <v>1</v>
      </c>
      <c r="I7">
        <f>IF(H7=TRUE,1,0)</f>
        <v>1</v>
      </c>
      <c r="J7" s="47">
        <f>IF(H5=1,I7,0)</f>
        <v>1</v>
      </c>
    </row>
    <row r="8" spans="1:10">
      <c r="A8">
        <v>2</v>
      </c>
      <c r="B8" t="s">
        <v>4</v>
      </c>
      <c r="C8" s="40">
        <v>0.55733500000000002</v>
      </c>
      <c r="D8" s="40">
        <v>0.9</v>
      </c>
      <c r="E8" s="40">
        <v>0.447021</v>
      </c>
      <c r="G8" s="46" t="s">
        <v>17</v>
      </c>
      <c r="H8" t="b">
        <f>worksheet_FY18!H8</f>
        <v>0</v>
      </c>
      <c r="I8">
        <f>IF(H8=TRUE,2,0)</f>
        <v>0</v>
      </c>
      <c r="J8" s="47">
        <f>IF(H5=1,I8,0)</f>
        <v>0</v>
      </c>
    </row>
    <row r="9" spans="1:10">
      <c r="A9">
        <v>3</v>
      </c>
      <c r="B9" t="s">
        <v>5</v>
      </c>
      <c r="C9" s="1">
        <f>LevyCalculator!F15</f>
        <v>1000</v>
      </c>
      <c r="D9" s="1">
        <f>C9</f>
        <v>1000</v>
      </c>
      <c r="E9" s="57">
        <f>D9</f>
        <v>1000</v>
      </c>
      <c r="G9" s="46" t="s">
        <v>18</v>
      </c>
      <c r="H9" t="b">
        <f>worksheet_FY18!H9</f>
        <v>0</v>
      </c>
      <c r="I9">
        <f>IF(H9=TRUE,2,0)</f>
        <v>0</v>
      </c>
      <c r="J9" s="47">
        <f>IF(H5=1,I9,0)</f>
        <v>0</v>
      </c>
    </row>
    <row r="10" spans="1:10">
      <c r="A10">
        <v>4</v>
      </c>
      <c r="B10" t="s">
        <v>6</v>
      </c>
      <c r="C10" s="1">
        <v>4850</v>
      </c>
      <c r="G10" s="46"/>
      <c r="I10">
        <f>SUM(I7:I9)</f>
        <v>1</v>
      </c>
      <c r="J10" s="47">
        <f>IF(H5=1,I10,0)</f>
        <v>1</v>
      </c>
    </row>
    <row r="11" spans="1:10" ht="13.5" thickBot="1">
      <c r="A11">
        <v>5</v>
      </c>
      <c r="B11" t="s">
        <v>7</v>
      </c>
      <c r="C11" s="1">
        <v>1850</v>
      </c>
      <c r="G11" s="48"/>
      <c r="H11" s="49"/>
      <c r="I11" s="49"/>
      <c r="J11" s="50"/>
    </row>
    <row r="12" spans="1:10">
      <c r="A12">
        <v>6</v>
      </c>
      <c r="B12" t="s">
        <v>8</v>
      </c>
      <c r="C12" s="1">
        <f>C8*C9</f>
        <v>557.33500000000004</v>
      </c>
      <c r="D12" s="1">
        <f>D8*D9</f>
        <v>900</v>
      </c>
      <c r="E12" s="1">
        <f>agvalues!H5</f>
        <v>1311.2657391999999</v>
      </c>
    </row>
    <row r="13" spans="1:10">
      <c r="A13">
        <v>7</v>
      </c>
      <c r="B13" t="s">
        <v>9</v>
      </c>
      <c r="C13" s="1">
        <f>(C9*C8)-C10</f>
        <v>-4292.665</v>
      </c>
    </row>
    <row r="14" spans="1:10">
      <c r="A14">
        <v>8</v>
      </c>
      <c r="B14" t="s">
        <v>19</v>
      </c>
      <c r="C14" s="1">
        <f>(C9*C8)-C11</f>
        <v>-1292.665</v>
      </c>
    </row>
    <row r="15" spans="1:10">
      <c r="A15">
        <v>9</v>
      </c>
      <c r="B15" t="s">
        <v>10</v>
      </c>
      <c r="C15" s="1">
        <f>(C9*C8)-C10-C11</f>
        <v>-6142.665</v>
      </c>
    </row>
    <row r="16" spans="1:10">
      <c r="A16">
        <v>10</v>
      </c>
      <c r="B16" s="28" t="s">
        <v>138</v>
      </c>
      <c r="C16" s="1">
        <f>C$7*C12/1000</f>
        <v>6.7437534999999995</v>
      </c>
    </row>
    <row r="17" spans="1:5">
      <c r="A17">
        <v>11</v>
      </c>
      <c r="B17" t="s">
        <v>11</v>
      </c>
      <c r="C17" s="1">
        <f>C$7*C13/1000</f>
        <v>-51.941246499999998</v>
      </c>
    </row>
    <row r="18" spans="1:5">
      <c r="A18">
        <v>12</v>
      </c>
      <c r="B18" t="s">
        <v>20</v>
      </c>
      <c r="C18" s="1">
        <f>C14*C7/1000</f>
        <v>-15.641246499999999</v>
      </c>
    </row>
    <row r="19" spans="1:5">
      <c r="A19">
        <v>13</v>
      </c>
      <c r="B19" t="s">
        <v>12</v>
      </c>
      <c r="C19" s="1">
        <f>C$7*C15/1000</f>
        <v>-74.326246499999996</v>
      </c>
    </row>
    <row r="20" spans="1:5">
      <c r="B20" t="s">
        <v>21</v>
      </c>
    </row>
    <row r="21" spans="1:5">
      <c r="D21" s="1"/>
      <c r="E21" s="1"/>
    </row>
    <row r="22" spans="1:5">
      <c r="B22" t="s">
        <v>22</v>
      </c>
      <c r="C22" s="1">
        <f>IF(I10=1,C17,IF(I10=2,C18,IF(I10=5,C19,C16)))</f>
        <v>-51.941246499999998</v>
      </c>
      <c r="D22" s="1">
        <f>(D9*D8)*D7/1000</f>
        <v>10.89</v>
      </c>
      <c r="E22" s="1">
        <f>(E9*E8)*E7/1000</f>
        <v>5.4089540999999999</v>
      </c>
    </row>
    <row r="24" spans="1:5">
      <c r="B24" t="s">
        <v>23</v>
      </c>
      <c r="C24" s="1">
        <f>HLOOKUP(H5,C5:E22,18,FALSE)</f>
        <v>-51.941246499999998</v>
      </c>
    </row>
  </sheetData>
  <pageMargins left="0.75" right="0.75" top="1" bottom="1" header="0.5" footer="0.5"/>
  <pageSetup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X102"/>
  <sheetViews>
    <sheetView workbookViewId="0">
      <selection activeCell="I2" sqref="I2"/>
    </sheetView>
  </sheetViews>
  <sheetFormatPr defaultColWidth="8.85546875" defaultRowHeight="12.75"/>
  <cols>
    <col min="3" max="3" width="9.140625" bestFit="1" customWidth="1"/>
    <col min="4" max="4" width="11.42578125" style="28" customWidth="1"/>
    <col min="5" max="7" width="8.85546875" customWidth="1"/>
    <col min="8" max="8" width="21.7109375" customWidth="1"/>
    <col min="9" max="9" width="16.140625" bestFit="1" customWidth="1"/>
    <col min="10" max="10" width="8" bestFit="1" customWidth="1"/>
    <col min="13" max="14" width="8.85546875" style="27" customWidth="1"/>
    <col min="19" max="19" width="11.42578125" style="28" customWidth="1"/>
  </cols>
  <sheetData>
    <row r="1" spans="1:24" ht="25.5">
      <c r="B1" s="14" t="s">
        <v>27</v>
      </c>
      <c r="C1" s="28" t="s">
        <v>200</v>
      </c>
      <c r="D1" s="28" t="s">
        <v>191</v>
      </c>
      <c r="F1" t="s">
        <v>127</v>
      </c>
      <c r="G1" t="s">
        <v>128</v>
      </c>
      <c r="H1" t="s">
        <v>129</v>
      </c>
      <c r="I1" t="s">
        <v>130</v>
      </c>
      <c r="J1" s="14" t="s">
        <v>132</v>
      </c>
      <c r="K1" t="s">
        <v>133</v>
      </c>
      <c r="L1" t="s">
        <v>134</v>
      </c>
      <c r="M1" s="27" t="s">
        <v>135</v>
      </c>
      <c r="N1" s="27" t="s">
        <v>136</v>
      </c>
      <c r="O1" s="28" t="s">
        <v>139</v>
      </c>
      <c r="P1" s="28" t="s">
        <v>137</v>
      </c>
      <c r="R1" t="s">
        <v>150</v>
      </c>
      <c r="S1" s="28" t="s">
        <v>185</v>
      </c>
      <c r="T1" s="37">
        <v>2015</v>
      </c>
      <c r="U1" s="37">
        <v>2014</v>
      </c>
      <c r="V1" s="37">
        <v>2013</v>
      </c>
      <c r="W1" s="37">
        <v>2012</v>
      </c>
      <c r="X1" s="37">
        <v>2011</v>
      </c>
    </row>
    <row r="2" spans="1:24" ht="15">
      <c r="A2">
        <v>1</v>
      </c>
      <c r="B2" t="s">
        <v>28</v>
      </c>
      <c r="C2" s="29">
        <f>VLOOKUP($B2,FY20_Ag_Vals!B:D,3,FALSE)</f>
        <v>1279.71</v>
      </c>
      <c r="D2" s="29">
        <f>VLOOKUP($B2,FY19_Ag_Vals!B:D,3,FALSE)</f>
        <v>1502.14</v>
      </c>
      <c r="E2">
        <v>16</v>
      </c>
      <c r="F2">
        <f>VLOOKUP(E2,$A$2:$C$100,3,FALSE)</f>
        <v>2108.4299999999998</v>
      </c>
      <c r="G2">
        <f>F2*worksheet_FY20!E8/1000</f>
        <v>1.18351236132</v>
      </c>
      <c r="H2">
        <f>LevyCalculator!I15*agvalues!G2</f>
        <v>1183.5123613200001</v>
      </c>
      <c r="I2" s="15">
        <f>H2*LevyCalculator!I17</f>
        <v>18166.914746262002</v>
      </c>
      <c r="J2">
        <v>575.71</v>
      </c>
      <c r="K2">
        <v>574</v>
      </c>
      <c r="L2" s="25">
        <v>512.57000000000005</v>
      </c>
      <c r="M2" s="27">
        <f>L2/J2-1</f>
        <v>-0.10967327300203222</v>
      </c>
      <c r="N2" s="27">
        <f>L2/K2-1</f>
        <v>-0.1070209059233449</v>
      </c>
      <c r="O2" s="26">
        <v>576.89</v>
      </c>
      <c r="P2" s="29">
        <v>923.29</v>
      </c>
      <c r="R2" s="38" t="s">
        <v>28</v>
      </c>
      <c r="S2" s="29">
        <v>1610.57</v>
      </c>
      <c r="T2" s="39">
        <v>1708.14</v>
      </c>
      <c r="U2" s="39">
        <v>1851.86</v>
      </c>
      <c r="V2" s="39">
        <v>1873.86</v>
      </c>
      <c r="W2" s="39">
        <v>1552.29</v>
      </c>
      <c r="X2" s="39">
        <v>1270.71</v>
      </c>
    </row>
    <row r="3" spans="1:24" ht="15">
      <c r="A3">
        <v>2</v>
      </c>
      <c r="B3" t="s">
        <v>29</v>
      </c>
      <c r="C3" s="29">
        <f>VLOOKUP($B3,FY20_Ag_Vals!B:D,3,FALSE)</f>
        <v>1238.57</v>
      </c>
      <c r="D3" s="29">
        <f>VLOOKUP($B3,FY19_Ag_Vals!B:D,3,FALSE)</f>
        <v>1435.86</v>
      </c>
      <c r="J3">
        <v>481.14</v>
      </c>
      <c r="K3">
        <v>487.29</v>
      </c>
      <c r="L3" s="25">
        <v>445.14</v>
      </c>
      <c r="M3" s="27">
        <f t="shared" ref="M3:M66" si="0">L3/J3-1</f>
        <v>-7.4822297044519259E-2</v>
      </c>
      <c r="N3" s="27">
        <f t="shared" ref="N3:N66" si="1">L3/K3-1</f>
        <v>-8.6498799482854216E-2</v>
      </c>
      <c r="O3" s="26">
        <v>499.34</v>
      </c>
      <c r="P3" s="29">
        <v>855.86</v>
      </c>
      <c r="R3" s="38" t="s">
        <v>29</v>
      </c>
      <c r="S3" s="29">
        <v>1545</v>
      </c>
      <c r="T3" s="39">
        <v>1602.43</v>
      </c>
      <c r="U3" s="39">
        <v>1598.43</v>
      </c>
      <c r="V3" s="39">
        <v>1570.71</v>
      </c>
      <c r="W3" s="39">
        <v>1280.29</v>
      </c>
      <c r="X3" s="39">
        <v>1078.71</v>
      </c>
    </row>
    <row r="4" spans="1:24" ht="15">
      <c r="A4">
        <v>3</v>
      </c>
      <c r="B4" t="s">
        <v>30</v>
      </c>
      <c r="C4" s="29">
        <f>VLOOKUP($B4,FY20_Ag_Vals!B:D,3,FALSE)</f>
        <v>1341.71</v>
      </c>
      <c r="D4" s="29">
        <f>VLOOKUP($B4,FY19_Ag_Vals!B:D,3,FALSE)</f>
        <v>1525.86</v>
      </c>
      <c r="F4" s="28" t="s">
        <v>194</v>
      </c>
      <c r="J4">
        <v>642.86</v>
      </c>
      <c r="K4">
        <v>648</v>
      </c>
      <c r="L4" s="25">
        <v>616.71</v>
      </c>
      <c r="M4" s="27">
        <f t="shared" si="0"/>
        <v>-4.0677596988457743E-2</v>
      </c>
      <c r="N4" s="27">
        <f t="shared" si="1"/>
        <v>-4.8287037037036962E-2</v>
      </c>
      <c r="O4" s="26">
        <v>637.89</v>
      </c>
      <c r="P4" s="29">
        <v>766.43</v>
      </c>
      <c r="R4" s="38" t="s">
        <v>30</v>
      </c>
      <c r="S4" s="29">
        <v>1650.29</v>
      </c>
      <c r="T4" s="39">
        <v>1656.86</v>
      </c>
      <c r="U4" s="39">
        <v>1712.57</v>
      </c>
      <c r="V4" s="39">
        <v>1531.14</v>
      </c>
      <c r="W4" s="39">
        <v>1235.71</v>
      </c>
      <c r="X4" s="39">
        <v>1059</v>
      </c>
    </row>
    <row r="5" spans="1:24" ht="15">
      <c r="A5">
        <v>4</v>
      </c>
      <c r="B5" t="s">
        <v>31</v>
      </c>
      <c r="C5" s="29">
        <f>VLOOKUP($B5,FY20_Ag_Vals!B:D,3,FALSE)</f>
        <v>622.29</v>
      </c>
      <c r="D5" s="29">
        <f>VLOOKUP($B5,FY19_Ag_Vals!B:D,3,FALSE)</f>
        <v>667.71</v>
      </c>
      <c r="E5">
        <f>E2</f>
        <v>16</v>
      </c>
      <c r="F5">
        <f>VLOOKUP(E5,$A$2:$D$100,4,FALSE)</f>
        <v>2408.29</v>
      </c>
      <c r="G5">
        <f>F5*worksheet_FY19!E8/1000</f>
        <v>1.3112657391999998</v>
      </c>
      <c r="H5">
        <f>LevyCalculator!F15*agvalues!G5</f>
        <v>1311.2657391999999</v>
      </c>
      <c r="I5" s="15">
        <f>H5*LevyCalculator!F17</f>
        <v>15866.315444319998</v>
      </c>
      <c r="J5">
        <v>342.43</v>
      </c>
      <c r="K5">
        <v>368.71</v>
      </c>
      <c r="L5" s="25">
        <v>333.29</v>
      </c>
      <c r="M5" s="27">
        <f t="shared" si="0"/>
        <v>-2.6691586601641171E-2</v>
      </c>
      <c r="N5" s="27">
        <f t="shared" si="1"/>
        <v>-9.6064657861191671E-2</v>
      </c>
      <c r="O5" s="26">
        <v>349.43</v>
      </c>
      <c r="P5" s="29">
        <v>511</v>
      </c>
      <c r="R5" s="38" t="s">
        <v>31</v>
      </c>
      <c r="S5" s="29">
        <v>676</v>
      </c>
      <c r="T5" s="39">
        <v>672.57</v>
      </c>
      <c r="U5" s="39">
        <v>681.43</v>
      </c>
      <c r="V5" s="39">
        <v>772.57</v>
      </c>
      <c r="W5" s="39">
        <v>664.43</v>
      </c>
      <c r="X5" s="39">
        <v>608.57000000000005</v>
      </c>
    </row>
    <row r="6" spans="1:24" ht="15">
      <c r="A6">
        <v>5</v>
      </c>
      <c r="B6" t="s">
        <v>32</v>
      </c>
      <c r="C6" s="29">
        <f>VLOOKUP($B6,FY20_Ag_Vals!B:D,3,FALSE)</f>
        <v>1541.43</v>
      </c>
      <c r="D6" s="29">
        <f>VLOOKUP($B6,FY19_Ag_Vals!B:D,3,FALSE)</f>
        <v>1816.86</v>
      </c>
      <c r="J6">
        <v>699</v>
      </c>
      <c r="K6">
        <v>618.42999999999995</v>
      </c>
      <c r="L6" s="25">
        <v>523.71</v>
      </c>
      <c r="M6" s="27">
        <f t="shared" si="0"/>
        <v>-0.2507725321888411</v>
      </c>
      <c r="N6" s="27">
        <f t="shared" si="1"/>
        <v>-0.15316203935772832</v>
      </c>
      <c r="O6" s="26">
        <v>600.03</v>
      </c>
      <c r="P6" s="29">
        <v>1219</v>
      </c>
      <c r="R6" s="38" t="s">
        <v>32</v>
      </c>
      <c r="S6" s="29">
        <v>1953.14</v>
      </c>
      <c r="T6" s="39">
        <v>2015.57</v>
      </c>
      <c r="U6" s="39">
        <v>2128.71</v>
      </c>
      <c r="V6" s="39">
        <v>2155.71</v>
      </c>
      <c r="W6" s="39">
        <v>1818.29</v>
      </c>
      <c r="X6" s="39">
        <v>1563.14</v>
      </c>
    </row>
    <row r="7" spans="1:24" ht="15">
      <c r="A7">
        <v>6</v>
      </c>
      <c r="B7" t="s">
        <v>33</v>
      </c>
      <c r="C7" s="29">
        <f>VLOOKUP($B7,FY20_Ag_Vals!B:D,3,FALSE)</f>
        <v>1975.71</v>
      </c>
      <c r="D7" s="29">
        <f>VLOOKUP($B7,FY19_Ag_Vals!B:D,3,FALSE)</f>
        <v>2221</v>
      </c>
      <c r="J7">
        <v>994.14</v>
      </c>
      <c r="K7">
        <v>923.86</v>
      </c>
      <c r="L7" s="25">
        <v>836.86</v>
      </c>
      <c r="M7" s="27">
        <f t="shared" si="0"/>
        <v>-0.15820709356831031</v>
      </c>
      <c r="N7" s="27">
        <f t="shared" si="1"/>
        <v>-9.4170112354685753E-2</v>
      </c>
      <c r="O7" s="26">
        <v>887.43</v>
      </c>
      <c r="P7" s="29">
        <v>1504.71</v>
      </c>
      <c r="R7" s="38" t="s">
        <v>33</v>
      </c>
      <c r="S7" s="29">
        <v>2466.4299999999998</v>
      </c>
      <c r="T7" s="39">
        <v>2557.5700000000002</v>
      </c>
      <c r="U7" s="39">
        <v>2666.57</v>
      </c>
      <c r="V7" s="39">
        <v>2599.71</v>
      </c>
      <c r="W7" s="39">
        <v>2254.86</v>
      </c>
      <c r="X7" s="39">
        <v>1859.14</v>
      </c>
    </row>
    <row r="8" spans="1:24" ht="15">
      <c r="A8">
        <v>7</v>
      </c>
      <c r="B8" t="s">
        <v>34</v>
      </c>
      <c r="C8" s="29">
        <f>VLOOKUP($B8,FY20_Ag_Vals!B:D,3,FALSE)</f>
        <v>1817</v>
      </c>
      <c r="D8" s="29">
        <f>VLOOKUP($B8,FY19_Ag_Vals!B:D,3,FALSE)</f>
        <v>2131.4299999999998</v>
      </c>
      <c r="J8">
        <v>992.86</v>
      </c>
      <c r="K8">
        <v>888</v>
      </c>
      <c r="L8" s="25">
        <v>795.29</v>
      </c>
      <c r="M8" s="27">
        <f t="shared" si="0"/>
        <v>-0.19899079427109567</v>
      </c>
      <c r="N8" s="27">
        <f t="shared" si="1"/>
        <v>-0.10440315315315318</v>
      </c>
      <c r="O8" s="26">
        <v>862.57</v>
      </c>
      <c r="P8" s="29">
        <v>1428.29</v>
      </c>
      <c r="R8" s="38" t="s">
        <v>34</v>
      </c>
      <c r="S8" s="29">
        <v>2328.5700000000002</v>
      </c>
      <c r="T8" s="39">
        <v>2460.71</v>
      </c>
      <c r="U8" s="39">
        <v>2544.71</v>
      </c>
      <c r="V8" s="39">
        <v>2478.5700000000002</v>
      </c>
      <c r="W8" s="39">
        <v>2098.14</v>
      </c>
      <c r="X8" s="39">
        <v>1786.14</v>
      </c>
    </row>
    <row r="9" spans="1:24" ht="15">
      <c r="A9">
        <v>8</v>
      </c>
      <c r="B9" t="s">
        <v>35</v>
      </c>
      <c r="C9" s="29">
        <f>VLOOKUP($B9,FY20_Ag_Vals!B:D,3,FALSE)</f>
        <v>1741.57</v>
      </c>
      <c r="D9" s="29">
        <f>VLOOKUP($B9,FY19_Ag_Vals!B:D,3,FALSE)</f>
        <v>1984.29</v>
      </c>
      <c r="J9">
        <v>950.86</v>
      </c>
      <c r="K9">
        <v>789.71</v>
      </c>
      <c r="L9" s="25">
        <v>640.71</v>
      </c>
      <c r="M9" s="27">
        <f t="shared" si="0"/>
        <v>-0.32617840691584454</v>
      </c>
      <c r="N9" s="27">
        <f t="shared" si="1"/>
        <v>-0.18867685606108575</v>
      </c>
      <c r="O9" s="26">
        <v>908.06</v>
      </c>
      <c r="P9" s="29">
        <v>1432.29</v>
      </c>
      <c r="R9" s="38" t="s">
        <v>35</v>
      </c>
      <c r="S9" s="29">
        <v>2133.4299999999998</v>
      </c>
      <c r="T9" s="39">
        <v>2224.71</v>
      </c>
      <c r="U9" s="39">
        <v>2284.14</v>
      </c>
      <c r="V9" s="39">
        <v>2280.14</v>
      </c>
      <c r="W9" s="39">
        <v>1968.86</v>
      </c>
      <c r="X9" s="39">
        <v>1702.29</v>
      </c>
    </row>
    <row r="10" spans="1:24" ht="15">
      <c r="A10">
        <v>9</v>
      </c>
      <c r="B10" t="s">
        <v>36</v>
      </c>
      <c r="C10" s="29">
        <f>VLOOKUP($B10,FY20_Ag_Vals!B:D,3,FALSE)</f>
        <v>1760</v>
      </c>
      <c r="D10" s="29">
        <f>VLOOKUP($B10,FY19_Ag_Vals!B:D,3,FALSE)</f>
        <v>2094.4299999999998</v>
      </c>
      <c r="J10">
        <v>991.86</v>
      </c>
      <c r="K10">
        <v>918.43</v>
      </c>
      <c r="L10" s="25">
        <v>817.14</v>
      </c>
      <c r="M10" s="27">
        <f t="shared" si="0"/>
        <v>-0.17615389268646786</v>
      </c>
      <c r="N10" s="27">
        <f t="shared" si="1"/>
        <v>-0.11028603159739991</v>
      </c>
      <c r="O10" s="26">
        <v>838.18</v>
      </c>
      <c r="P10" s="29">
        <v>1304.57</v>
      </c>
      <c r="R10" s="38" t="s">
        <v>36</v>
      </c>
      <c r="S10" s="29">
        <v>2276.71</v>
      </c>
      <c r="T10" s="39">
        <v>2490.29</v>
      </c>
      <c r="U10" s="39">
        <v>2531</v>
      </c>
      <c r="V10" s="39">
        <v>2449.71</v>
      </c>
      <c r="W10" s="39">
        <v>2022.43</v>
      </c>
      <c r="X10" s="39">
        <v>1708.86</v>
      </c>
    </row>
    <row r="11" spans="1:24" ht="15">
      <c r="A11">
        <v>10</v>
      </c>
      <c r="B11" t="s">
        <v>37</v>
      </c>
      <c r="C11" s="29">
        <f>VLOOKUP($B11,FY20_Ag_Vals!B:D,3,FALSE)</f>
        <v>1788.71</v>
      </c>
      <c r="D11" s="29">
        <f>VLOOKUP($B11,FY19_Ag_Vals!B:D,3,FALSE)</f>
        <v>2104</v>
      </c>
      <c r="J11">
        <v>916.14</v>
      </c>
      <c r="K11">
        <v>861.14</v>
      </c>
      <c r="L11" s="25">
        <v>788.14</v>
      </c>
      <c r="M11" s="27">
        <f t="shared" si="0"/>
        <v>-0.13971663719518856</v>
      </c>
      <c r="N11" s="27">
        <f t="shared" si="1"/>
        <v>-8.4771349606335811E-2</v>
      </c>
      <c r="O11" s="26">
        <v>863.33</v>
      </c>
      <c r="P11" s="29">
        <v>1253.71</v>
      </c>
      <c r="R11" s="38" t="s">
        <v>37</v>
      </c>
      <c r="S11" s="29">
        <v>2269.5700000000002</v>
      </c>
      <c r="T11" s="39">
        <v>2337</v>
      </c>
      <c r="U11" s="39">
        <v>2348.5700000000002</v>
      </c>
      <c r="V11" s="39">
        <v>2207.71</v>
      </c>
      <c r="W11" s="39">
        <v>1842.71</v>
      </c>
      <c r="X11" s="39">
        <v>1550.71</v>
      </c>
    </row>
    <row r="12" spans="1:24" ht="15">
      <c r="A12">
        <v>11</v>
      </c>
      <c r="B12" t="s">
        <v>38</v>
      </c>
      <c r="C12" s="29">
        <f>VLOOKUP($B12,FY20_Ag_Vals!B:D,3,FALSE)</f>
        <v>1772</v>
      </c>
      <c r="D12" s="29">
        <f>VLOOKUP($B12,FY19_Ag_Vals!B:D,3,FALSE)</f>
        <v>2092.4299999999998</v>
      </c>
      <c r="J12">
        <v>988.86</v>
      </c>
      <c r="K12">
        <v>818.14</v>
      </c>
      <c r="L12" s="25">
        <v>703.71</v>
      </c>
      <c r="M12" s="27">
        <f t="shared" si="0"/>
        <v>-0.28836235665311571</v>
      </c>
      <c r="N12" s="27">
        <f t="shared" si="1"/>
        <v>-0.13986603759747718</v>
      </c>
      <c r="O12" s="26">
        <v>770.4</v>
      </c>
      <c r="P12" s="29">
        <v>1359.71</v>
      </c>
      <c r="R12" s="38" t="s">
        <v>38</v>
      </c>
      <c r="S12" s="29">
        <v>2268</v>
      </c>
      <c r="T12" s="39">
        <v>2421.5700000000002</v>
      </c>
      <c r="U12" s="39">
        <v>2541.4299999999998</v>
      </c>
      <c r="V12" s="39">
        <v>2461</v>
      </c>
      <c r="W12" s="39">
        <v>2026</v>
      </c>
      <c r="X12" s="39">
        <v>1693.14</v>
      </c>
    </row>
    <row r="13" spans="1:24" ht="15">
      <c r="A13">
        <v>12</v>
      </c>
      <c r="B13" t="s">
        <v>39</v>
      </c>
      <c r="C13" s="29">
        <f>VLOOKUP($B13,FY20_Ag_Vals!B:D,3,FALSE)</f>
        <v>1633.57</v>
      </c>
      <c r="D13" s="29">
        <f>VLOOKUP($B13,FY19_Ag_Vals!B:D,3,FALSE)</f>
        <v>1927.86</v>
      </c>
      <c r="J13">
        <v>894.43</v>
      </c>
      <c r="K13">
        <v>823</v>
      </c>
      <c r="L13" s="25">
        <v>722.57</v>
      </c>
      <c r="M13" s="27">
        <f t="shared" si="0"/>
        <v>-0.19214471786500886</v>
      </c>
      <c r="N13" s="27">
        <f t="shared" si="1"/>
        <v>-0.1220291616038881</v>
      </c>
      <c r="O13" s="26">
        <v>771.28</v>
      </c>
      <c r="P13" s="29">
        <v>1352.43</v>
      </c>
      <c r="R13" s="38" t="s">
        <v>39</v>
      </c>
      <c r="S13" s="29">
        <v>2142.29</v>
      </c>
      <c r="T13" s="39">
        <v>2269</v>
      </c>
      <c r="U13" s="39">
        <v>2273</v>
      </c>
      <c r="V13" s="39">
        <v>2290.14</v>
      </c>
      <c r="W13" s="39">
        <v>1914</v>
      </c>
      <c r="X13" s="39">
        <v>1605.86</v>
      </c>
    </row>
    <row r="14" spans="1:24" ht="15">
      <c r="A14">
        <v>13</v>
      </c>
      <c r="B14" t="s">
        <v>40</v>
      </c>
      <c r="C14" s="29">
        <f>VLOOKUP($B14,FY20_Ag_Vals!B:D,3,FALSE)</f>
        <v>1645.29</v>
      </c>
      <c r="D14" s="29">
        <f>VLOOKUP($B14,FY19_Ag_Vals!B:D,3,FALSE)</f>
        <v>1956.29</v>
      </c>
      <c r="J14">
        <v>918.29</v>
      </c>
      <c r="K14">
        <v>768.57</v>
      </c>
      <c r="L14" s="25">
        <v>630</v>
      </c>
      <c r="M14" s="27">
        <f t="shared" si="0"/>
        <v>-0.31394221868908512</v>
      </c>
      <c r="N14" s="27">
        <f t="shared" si="1"/>
        <v>-0.18029587415589998</v>
      </c>
      <c r="O14" s="26">
        <v>917.1</v>
      </c>
      <c r="P14" s="29">
        <v>1423.43</v>
      </c>
      <c r="R14" s="38" t="s">
        <v>40</v>
      </c>
      <c r="S14" s="29">
        <v>2129.14</v>
      </c>
      <c r="T14" s="39">
        <v>2122.86</v>
      </c>
      <c r="U14" s="39">
        <v>2359.5700000000002</v>
      </c>
      <c r="V14" s="39">
        <v>2397.29</v>
      </c>
      <c r="W14" s="39">
        <v>1995.14</v>
      </c>
      <c r="X14" s="39">
        <v>1715.71</v>
      </c>
    </row>
    <row r="15" spans="1:24" ht="15">
      <c r="A15">
        <v>14</v>
      </c>
      <c r="B15" t="s">
        <v>41</v>
      </c>
      <c r="C15" s="29">
        <f>VLOOKUP($B15,FY20_Ag_Vals!B:D,3,FALSE)</f>
        <v>1700.29</v>
      </c>
      <c r="D15" s="29">
        <f>VLOOKUP($B15,FY19_Ag_Vals!B:D,3,FALSE)</f>
        <v>2032.71</v>
      </c>
      <c r="J15">
        <v>873.43</v>
      </c>
      <c r="K15">
        <v>742.57</v>
      </c>
      <c r="L15" s="25">
        <v>637.29</v>
      </c>
      <c r="M15" s="27">
        <f t="shared" si="0"/>
        <v>-0.27035938770136125</v>
      </c>
      <c r="N15" s="27">
        <f t="shared" si="1"/>
        <v>-0.14177787952650944</v>
      </c>
      <c r="O15" s="26">
        <v>662.44</v>
      </c>
      <c r="P15" s="29">
        <v>1312.57</v>
      </c>
      <c r="R15" s="38" t="s">
        <v>41</v>
      </c>
      <c r="S15" s="29">
        <v>2197</v>
      </c>
      <c r="T15" s="39">
        <v>2285.14</v>
      </c>
      <c r="U15" s="39">
        <v>2494.29</v>
      </c>
      <c r="V15" s="39">
        <v>2547.86</v>
      </c>
      <c r="W15" s="39">
        <v>2085.5700000000002</v>
      </c>
      <c r="X15" s="39">
        <v>1708</v>
      </c>
    </row>
    <row r="16" spans="1:24" ht="15">
      <c r="A16">
        <v>15</v>
      </c>
      <c r="B16" t="s">
        <v>42</v>
      </c>
      <c r="C16" s="29">
        <f>VLOOKUP($B16,FY20_Ag_Vals!B:D,3,FALSE)</f>
        <v>1604.86</v>
      </c>
      <c r="D16" s="29">
        <f>VLOOKUP($B16,FY19_Ag_Vals!B:D,3,FALSE)</f>
        <v>1938.71</v>
      </c>
      <c r="J16">
        <v>616.29</v>
      </c>
      <c r="K16">
        <v>580.14</v>
      </c>
      <c r="L16" s="25">
        <v>513.86</v>
      </c>
      <c r="M16" s="27">
        <f t="shared" si="0"/>
        <v>-0.16620422203832608</v>
      </c>
      <c r="N16" s="27">
        <f t="shared" si="1"/>
        <v>-0.11424828489674899</v>
      </c>
      <c r="O16" s="26">
        <v>524.85</v>
      </c>
      <c r="P16" s="29">
        <v>1125.57</v>
      </c>
      <c r="R16" s="38" t="s">
        <v>42</v>
      </c>
      <c r="S16" s="29">
        <v>2078.14</v>
      </c>
      <c r="T16" s="39">
        <v>2167.14</v>
      </c>
      <c r="U16" s="39">
        <v>2255.29</v>
      </c>
      <c r="V16" s="39">
        <v>2210.86</v>
      </c>
      <c r="W16" s="39">
        <v>1831.57</v>
      </c>
      <c r="X16" s="39">
        <v>1502.14</v>
      </c>
    </row>
    <row r="17" spans="1:24" ht="15">
      <c r="A17">
        <v>16</v>
      </c>
      <c r="B17" t="s">
        <v>43</v>
      </c>
      <c r="C17" s="29">
        <f>VLOOKUP($B17,FY20_Ag_Vals!B:D,3,FALSE)</f>
        <v>2108.4299999999998</v>
      </c>
      <c r="D17" s="29">
        <f>VLOOKUP($B17,FY19_Ag_Vals!B:D,3,FALSE)</f>
        <v>2408.29</v>
      </c>
      <c r="J17">
        <v>1026.8599999999999</v>
      </c>
      <c r="K17">
        <v>972.29</v>
      </c>
      <c r="L17" s="25">
        <v>896</v>
      </c>
      <c r="M17" s="27">
        <f t="shared" si="0"/>
        <v>-0.1274370410766803</v>
      </c>
      <c r="N17" s="27">
        <f t="shared" si="1"/>
        <v>-7.8464244206975287E-2</v>
      </c>
      <c r="O17" s="26">
        <v>943.66</v>
      </c>
      <c r="P17" s="29">
        <v>1372.86</v>
      </c>
      <c r="R17" s="38" t="s">
        <v>43</v>
      </c>
      <c r="S17" s="29">
        <v>2619.86</v>
      </c>
      <c r="T17" s="39">
        <v>2689.86</v>
      </c>
      <c r="U17" s="39">
        <v>2710.86</v>
      </c>
      <c r="V17" s="39">
        <v>2523.14</v>
      </c>
      <c r="W17" s="39">
        <v>2114.86</v>
      </c>
      <c r="X17" s="39">
        <v>1666.43</v>
      </c>
    </row>
    <row r="18" spans="1:24" ht="15">
      <c r="A18">
        <v>17</v>
      </c>
      <c r="B18" t="s">
        <v>44</v>
      </c>
      <c r="C18" s="29">
        <f>VLOOKUP($B18,FY20_Ag_Vals!B:D,3,FALSE)</f>
        <v>1594.29</v>
      </c>
      <c r="D18" s="29">
        <f>VLOOKUP($B18,FY19_Ag_Vals!B:D,3,FALSE)</f>
        <v>1900.71</v>
      </c>
      <c r="J18">
        <v>891.43</v>
      </c>
      <c r="K18">
        <v>830.57</v>
      </c>
      <c r="L18" s="25">
        <v>751</v>
      </c>
      <c r="M18" s="27">
        <f t="shared" si="0"/>
        <v>-0.1575334013887798</v>
      </c>
      <c r="N18" s="27">
        <f t="shared" si="1"/>
        <v>-9.5801678365459941E-2</v>
      </c>
      <c r="O18" s="26">
        <v>783.68</v>
      </c>
      <c r="P18" s="29">
        <v>1382</v>
      </c>
      <c r="R18" s="38" t="s">
        <v>44</v>
      </c>
      <c r="S18" s="29">
        <v>2056.5700000000002</v>
      </c>
      <c r="T18" s="39">
        <v>2141</v>
      </c>
      <c r="U18" s="39">
        <v>2297.71</v>
      </c>
      <c r="V18" s="39">
        <v>2331.86</v>
      </c>
      <c r="W18" s="39">
        <v>1970</v>
      </c>
      <c r="X18" s="39">
        <v>1693</v>
      </c>
    </row>
    <row r="19" spans="1:24" ht="15">
      <c r="A19">
        <v>18</v>
      </c>
      <c r="B19" t="s">
        <v>45</v>
      </c>
      <c r="C19" s="29">
        <f>VLOOKUP($B19,FY20_Ag_Vals!B:D,3,FALSE)</f>
        <v>2100</v>
      </c>
      <c r="D19" s="29">
        <f>VLOOKUP($B19,FY19_Ag_Vals!B:D,3,FALSE)</f>
        <v>2412.71</v>
      </c>
      <c r="J19">
        <v>904.14</v>
      </c>
      <c r="K19">
        <v>771</v>
      </c>
      <c r="L19" s="25">
        <v>678.71</v>
      </c>
      <c r="M19" s="27">
        <f t="shared" si="0"/>
        <v>-0.24933085584090953</v>
      </c>
      <c r="N19" s="27">
        <f t="shared" si="1"/>
        <v>-0.11970168612191956</v>
      </c>
      <c r="O19" s="26">
        <v>694.65</v>
      </c>
      <c r="P19" s="29">
        <v>1411.29</v>
      </c>
      <c r="R19" s="38" t="s">
        <v>45</v>
      </c>
      <c r="S19" s="29">
        <v>2672.43</v>
      </c>
      <c r="T19" s="39">
        <v>2843.86</v>
      </c>
      <c r="U19" s="39">
        <v>2970.57</v>
      </c>
      <c r="V19" s="39">
        <v>2802.43</v>
      </c>
      <c r="W19" s="39">
        <v>2282.5700000000002</v>
      </c>
      <c r="X19" s="39">
        <v>1862.86</v>
      </c>
    </row>
    <row r="20" spans="1:24" ht="15">
      <c r="A20">
        <v>19</v>
      </c>
      <c r="B20" t="s">
        <v>46</v>
      </c>
      <c r="C20" s="29">
        <f>VLOOKUP($B20,FY20_Ag_Vals!B:D,3,FALSE)</f>
        <v>1796.29</v>
      </c>
      <c r="D20" s="29">
        <f>VLOOKUP($B20,FY19_Ag_Vals!B:D,3,FALSE)</f>
        <v>2110.4299999999998</v>
      </c>
      <c r="J20">
        <v>887</v>
      </c>
      <c r="K20">
        <v>813.14</v>
      </c>
      <c r="L20" s="25">
        <v>709.43</v>
      </c>
      <c r="M20" s="27">
        <f t="shared" si="0"/>
        <v>-0.20019165727170241</v>
      </c>
      <c r="N20" s="27">
        <f t="shared" si="1"/>
        <v>-0.12754261258823818</v>
      </c>
      <c r="O20" s="26">
        <v>939.83</v>
      </c>
      <c r="P20" s="29">
        <v>1374.71</v>
      </c>
      <c r="R20" s="38" t="s">
        <v>46</v>
      </c>
      <c r="S20" s="29">
        <v>2282.4299999999998</v>
      </c>
      <c r="T20" s="39">
        <v>2390.4299999999998</v>
      </c>
      <c r="U20" s="39">
        <v>2428.71</v>
      </c>
      <c r="V20" s="39">
        <v>2333</v>
      </c>
      <c r="W20" s="39">
        <v>1961</v>
      </c>
      <c r="X20" s="39">
        <v>1665.71</v>
      </c>
    </row>
    <row r="21" spans="1:24" ht="15">
      <c r="A21">
        <v>20</v>
      </c>
      <c r="B21" t="s">
        <v>47</v>
      </c>
      <c r="C21" s="29">
        <f>VLOOKUP($B21,FY20_Ag_Vals!B:D,3,FALSE)</f>
        <v>793.14</v>
      </c>
      <c r="D21" s="29">
        <f>VLOOKUP($B21,FY19_Ag_Vals!B:D,3,FALSE)</f>
        <v>835.86</v>
      </c>
      <c r="J21">
        <v>348</v>
      </c>
      <c r="K21">
        <v>363.43</v>
      </c>
      <c r="L21" s="25">
        <v>335.43</v>
      </c>
      <c r="M21" s="27">
        <f t="shared" si="0"/>
        <v>-3.6120689655172344E-2</v>
      </c>
      <c r="N21" s="27">
        <f t="shared" si="1"/>
        <v>-7.7043722312412299E-2</v>
      </c>
      <c r="O21" s="26">
        <v>373.2</v>
      </c>
      <c r="P21" s="29">
        <v>524.57000000000005</v>
      </c>
      <c r="R21" s="38" t="s">
        <v>47</v>
      </c>
      <c r="S21" s="29">
        <v>859.71</v>
      </c>
      <c r="T21" s="39">
        <v>789.57</v>
      </c>
      <c r="U21" s="39">
        <v>713.57</v>
      </c>
      <c r="V21" s="39">
        <v>752.14</v>
      </c>
      <c r="W21" s="39">
        <v>665.71</v>
      </c>
      <c r="X21" s="39">
        <v>599.71</v>
      </c>
    </row>
    <row r="22" spans="1:24" ht="15">
      <c r="A22">
        <v>21</v>
      </c>
      <c r="B22" t="s">
        <v>48</v>
      </c>
      <c r="C22" s="29">
        <f>VLOOKUP($B22,FY20_Ag_Vals!B:D,3,FALSE)</f>
        <v>1964.57</v>
      </c>
      <c r="D22" s="29">
        <f>VLOOKUP($B22,FY19_Ag_Vals!B:D,3,FALSE)</f>
        <v>2291.71</v>
      </c>
      <c r="J22">
        <v>879.29</v>
      </c>
      <c r="K22">
        <v>811.29</v>
      </c>
      <c r="L22" s="25">
        <v>706.86</v>
      </c>
      <c r="M22" s="27">
        <f t="shared" si="0"/>
        <v>-0.19610139999317622</v>
      </c>
      <c r="N22" s="27">
        <f t="shared" si="1"/>
        <v>-0.12872092593277362</v>
      </c>
      <c r="O22" s="26">
        <v>904.2</v>
      </c>
      <c r="P22" s="29">
        <v>1424.43</v>
      </c>
      <c r="R22" s="38" t="s">
        <v>48</v>
      </c>
      <c r="S22" s="29">
        <v>2458.71</v>
      </c>
      <c r="T22" s="39">
        <v>2591</v>
      </c>
      <c r="U22" s="39">
        <v>2665.43</v>
      </c>
      <c r="V22" s="39">
        <v>2491.4299999999998</v>
      </c>
      <c r="W22" s="39">
        <v>2079.71</v>
      </c>
      <c r="X22" s="39">
        <v>1737.71</v>
      </c>
    </row>
    <row r="23" spans="1:24" ht="15">
      <c r="A23">
        <v>22</v>
      </c>
      <c r="B23" t="s">
        <v>49</v>
      </c>
      <c r="C23" s="29">
        <f>VLOOKUP($B23,FY20_Ag_Vals!B:D,3,FALSE)</f>
        <v>1532.14</v>
      </c>
      <c r="D23" s="29">
        <f>VLOOKUP($B23,FY19_Ag_Vals!B:D,3,FALSE)</f>
        <v>1758.29</v>
      </c>
      <c r="J23">
        <v>732</v>
      </c>
      <c r="K23">
        <v>712</v>
      </c>
      <c r="L23" s="25">
        <v>671</v>
      </c>
      <c r="M23" s="27">
        <f t="shared" si="0"/>
        <v>-8.333333333333337E-2</v>
      </c>
      <c r="N23" s="27">
        <f t="shared" si="1"/>
        <v>-5.7584269662921295E-2</v>
      </c>
      <c r="O23" s="26">
        <v>782.93</v>
      </c>
      <c r="P23" s="29">
        <v>998.14</v>
      </c>
      <c r="R23" s="38" t="s">
        <v>49</v>
      </c>
      <c r="S23" s="29">
        <v>1891.86</v>
      </c>
      <c r="T23" s="39">
        <v>1906.29</v>
      </c>
      <c r="U23" s="39">
        <v>1918.71</v>
      </c>
      <c r="V23" s="39">
        <v>1749.14</v>
      </c>
      <c r="W23" s="39">
        <v>1423.14</v>
      </c>
      <c r="X23" s="39">
        <v>1197.8599999999999</v>
      </c>
    </row>
    <row r="24" spans="1:24" ht="15">
      <c r="A24">
        <v>23</v>
      </c>
      <c r="B24" t="s">
        <v>50</v>
      </c>
      <c r="C24" s="29">
        <f>VLOOKUP($B24,FY20_Ag_Vals!B:D,3,FALSE)</f>
        <v>2023.14</v>
      </c>
      <c r="D24" s="29">
        <f>VLOOKUP($B24,FY19_Ag_Vals!B:D,3,FALSE)</f>
        <v>2334</v>
      </c>
      <c r="J24">
        <v>1015.86</v>
      </c>
      <c r="K24">
        <v>931.71</v>
      </c>
      <c r="L24" s="25">
        <v>849.57</v>
      </c>
      <c r="M24" s="27">
        <f t="shared" si="0"/>
        <v>-0.16369381607701849</v>
      </c>
      <c r="N24" s="27">
        <f t="shared" si="1"/>
        <v>-8.8160479119039126E-2</v>
      </c>
      <c r="O24" s="26">
        <v>882.69</v>
      </c>
      <c r="P24" s="29">
        <v>1293</v>
      </c>
      <c r="R24" s="38" t="s">
        <v>50</v>
      </c>
      <c r="S24" s="29">
        <v>2543.29</v>
      </c>
      <c r="T24" s="39">
        <v>2616.71</v>
      </c>
      <c r="U24" s="39">
        <v>2611.86</v>
      </c>
      <c r="V24" s="39">
        <v>2471.4299999999998</v>
      </c>
      <c r="W24" s="39">
        <v>2070.29</v>
      </c>
      <c r="X24" s="39">
        <v>1603.43</v>
      </c>
    </row>
    <row r="25" spans="1:24" ht="15">
      <c r="A25">
        <v>24</v>
      </c>
      <c r="B25" t="s">
        <v>51</v>
      </c>
      <c r="C25" s="29">
        <f>VLOOKUP($B25,FY20_Ag_Vals!B:D,3,FALSE)</f>
        <v>1740</v>
      </c>
      <c r="D25" s="29">
        <f>VLOOKUP($B25,FY19_Ag_Vals!B:D,3,FALSE)</f>
        <v>2047.71</v>
      </c>
      <c r="J25">
        <v>711.29</v>
      </c>
      <c r="K25">
        <v>633.42999999999995</v>
      </c>
      <c r="L25" s="25">
        <v>572.14</v>
      </c>
      <c r="M25" s="27">
        <f t="shared" si="0"/>
        <v>-0.19563047420883184</v>
      </c>
      <c r="N25" s="27">
        <f t="shared" si="1"/>
        <v>-9.6758915744438956E-2</v>
      </c>
      <c r="O25" s="26">
        <v>777.79</v>
      </c>
      <c r="P25" s="29">
        <v>1178.8599999999999</v>
      </c>
      <c r="R25" s="38" t="s">
        <v>51</v>
      </c>
      <c r="S25" s="29">
        <v>2235.14</v>
      </c>
      <c r="T25" s="39">
        <v>2338.4299999999998</v>
      </c>
      <c r="U25" s="39">
        <v>2524.14</v>
      </c>
      <c r="V25" s="39">
        <v>2467.5700000000002</v>
      </c>
      <c r="W25" s="39">
        <v>1966.57</v>
      </c>
      <c r="X25" s="39">
        <v>1600.71</v>
      </c>
    </row>
    <row r="26" spans="1:24" ht="15">
      <c r="A26">
        <v>25</v>
      </c>
      <c r="B26" t="s">
        <v>52</v>
      </c>
      <c r="C26" s="29">
        <f>VLOOKUP($B26,FY20_Ag_Vals!B:D,3,FALSE)</f>
        <v>1515.57</v>
      </c>
      <c r="D26" s="29">
        <f>VLOOKUP($B26,FY19_Ag_Vals!B:D,3,FALSE)</f>
        <v>1739.57</v>
      </c>
      <c r="J26">
        <v>826.86</v>
      </c>
      <c r="K26">
        <v>710.29</v>
      </c>
      <c r="L26" s="25">
        <v>564.71</v>
      </c>
      <c r="M26" s="27">
        <f t="shared" si="0"/>
        <v>-0.31704278838013689</v>
      </c>
      <c r="N26" s="27">
        <f t="shared" si="1"/>
        <v>-0.20495853806191833</v>
      </c>
      <c r="O26" s="26">
        <v>577.25</v>
      </c>
      <c r="P26" s="29">
        <v>1273</v>
      </c>
      <c r="R26" s="38" t="s">
        <v>52</v>
      </c>
      <c r="S26" s="29">
        <v>1918.71</v>
      </c>
      <c r="T26" s="39">
        <v>1990.71</v>
      </c>
      <c r="U26" s="39">
        <v>2123.5700000000002</v>
      </c>
      <c r="V26" s="39">
        <v>2176.86</v>
      </c>
      <c r="W26" s="39">
        <v>1873.29</v>
      </c>
      <c r="X26" s="39">
        <v>1661.71</v>
      </c>
    </row>
    <row r="27" spans="1:24" ht="15">
      <c r="A27">
        <v>26</v>
      </c>
      <c r="B27" t="s">
        <v>53</v>
      </c>
      <c r="C27" s="29">
        <f>VLOOKUP($B27,FY20_Ag_Vals!B:D,3,FALSE)</f>
        <v>866.29</v>
      </c>
      <c r="D27" s="29">
        <f>VLOOKUP($B27,FY19_Ag_Vals!B:D,3,FALSE)</f>
        <v>867</v>
      </c>
      <c r="J27">
        <v>402.14</v>
      </c>
      <c r="K27">
        <v>424</v>
      </c>
      <c r="L27" s="25">
        <v>373.71</v>
      </c>
      <c r="M27" s="27">
        <f t="shared" si="0"/>
        <v>-7.0696772268364239E-2</v>
      </c>
      <c r="N27" s="27">
        <f t="shared" si="1"/>
        <v>-0.11860849056603784</v>
      </c>
      <c r="O27" s="26">
        <v>378.18</v>
      </c>
      <c r="P27" s="29">
        <v>535.14</v>
      </c>
      <c r="R27" s="38" t="s">
        <v>53</v>
      </c>
      <c r="S27" s="29">
        <v>886.43</v>
      </c>
      <c r="T27" s="39">
        <v>817</v>
      </c>
      <c r="U27" s="39">
        <v>830.86</v>
      </c>
      <c r="V27" s="39">
        <v>918.86</v>
      </c>
      <c r="W27" s="39">
        <v>820.86</v>
      </c>
      <c r="X27" s="39">
        <v>684.29</v>
      </c>
    </row>
    <row r="28" spans="1:24" ht="15">
      <c r="A28">
        <v>27</v>
      </c>
      <c r="B28" t="s">
        <v>54</v>
      </c>
      <c r="C28" s="29">
        <f>VLOOKUP($B28,FY20_Ag_Vals!B:D,3,FALSE)</f>
        <v>602.42999999999995</v>
      </c>
      <c r="D28" s="29">
        <f>VLOOKUP($B28,FY19_Ag_Vals!B:D,3,FALSE)</f>
        <v>660.71</v>
      </c>
      <c r="J28">
        <v>330</v>
      </c>
      <c r="K28">
        <v>334.29</v>
      </c>
      <c r="L28" s="25">
        <v>277.43</v>
      </c>
      <c r="M28" s="27">
        <f t="shared" si="0"/>
        <v>-0.15930303030303028</v>
      </c>
      <c r="N28" s="27">
        <f t="shared" si="1"/>
        <v>-0.17009183642944747</v>
      </c>
      <c r="O28" s="26">
        <v>271.67</v>
      </c>
      <c r="P28" s="29">
        <v>465.29</v>
      </c>
      <c r="R28" s="38" t="s">
        <v>54</v>
      </c>
      <c r="S28" s="29">
        <v>671.57</v>
      </c>
      <c r="T28" s="39">
        <v>690.57</v>
      </c>
      <c r="U28" s="39">
        <v>664.29</v>
      </c>
      <c r="V28" s="39">
        <v>706.57</v>
      </c>
      <c r="W28" s="39">
        <v>599.71</v>
      </c>
      <c r="X28" s="39">
        <v>549.14</v>
      </c>
    </row>
    <row r="29" spans="1:24" ht="15">
      <c r="A29">
        <v>28</v>
      </c>
      <c r="B29" t="s">
        <v>55</v>
      </c>
      <c r="C29" s="29">
        <f>VLOOKUP($B29,FY20_Ag_Vals!B:D,3,FALSE)</f>
        <v>1772.57</v>
      </c>
      <c r="D29" s="29">
        <f>VLOOKUP($B29,FY19_Ag_Vals!B:D,3,FALSE)</f>
        <v>2160.29</v>
      </c>
      <c r="J29">
        <v>1029.29</v>
      </c>
      <c r="K29">
        <v>974.86</v>
      </c>
      <c r="L29" s="25">
        <v>896.86</v>
      </c>
      <c r="M29" s="27">
        <f t="shared" si="0"/>
        <v>-0.12866150453225034</v>
      </c>
      <c r="N29" s="27">
        <f t="shared" si="1"/>
        <v>-8.00114888291652E-2</v>
      </c>
      <c r="O29" s="26">
        <v>905.64</v>
      </c>
      <c r="P29" s="29">
        <v>1284.43</v>
      </c>
      <c r="R29" s="38" t="s">
        <v>55</v>
      </c>
      <c r="S29" s="29">
        <v>2378</v>
      </c>
      <c r="T29" s="39">
        <v>2501</v>
      </c>
      <c r="U29" s="39">
        <v>2507.4299999999998</v>
      </c>
      <c r="V29" s="39">
        <v>2393.4299999999998</v>
      </c>
      <c r="W29" s="39">
        <v>1967.71</v>
      </c>
      <c r="X29" s="39">
        <v>1598.57</v>
      </c>
    </row>
    <row r="30" spans="1:24" ht="15">
      <c r="A30">
        <v>29</v>
      </c>
      <c r="B30" t="s">
        <v>56</v>
      </c>
      <c r="C30" s="29">
        <f>VLOOKUP($B30,FY20_Ag_Vals!B:D,3,FALSE)</f>
        <v>1742.86</v>
      </c>
      <c r="D30" s="29">
        <f>VLOOKUP($B30,FY19_Ag_Vals!B:D,3,FALSE)</f>
        <v>1958.14</v>
      </c>
      <c r="J30">
        <v>776.71</v>
      </c>
      <c r="K30">
        <v>716.43</v>
      </c>
      <c r="L30" s="25">
        <v>623.29</v>
      </c>
      <c r="M30" s="27">
        <f t="shared" si="0"/>
        <v>-0.19752545995287829</v>
      </c>
      <c r="N30" s="27">
        <f t="shared" si="1"/>
        <v>-0.13000572282009404</v>
      </c>
      <c r="O30" s="26">
        <v>719.71</v>
      </c>
      <c r="P30" s="29">
        <v>1316.14</v>
      </c>
      <c r="R30" s="38" t="s">
        <v>56</v>
      </c>
      <c r="S30" s="29">
        <v>2076.29</v>
      </c>
      <c r="T30" s="39">
        <v>2072.86</v>
      </c>
      <c r="U30" s="39">
        <v>2089.4299999999998</v>
      </c>
      <c r="V30" s="39">
        <v>2038.57</v>
      </c>
      <c r="W30" s="39">
        <v>1709</v>
      </c>
      <c r="X30" s="39">
        <v>1494.43</v>
      </c>
    </row>
    <row r="31" spans="1:24" ht="15">
      <c r="A31">
        <v>30</v>
      </c>
      <c r="B31" t="s">
        <v>57</v>
      </c>
      <c r="C31" s="29">
        <f>VLOOKUP($B31,FY20_Ag_Vals!B:D,3,FALSE)</f>
        <v>1788.86</v>
      </c>
      <c r="D31" s="29">
        <f>VLOOKUP($B31,FY19_Ag_Vals!B:D,3,FALSE)</f>
        <v>2075.29</v>
      </c>
      <c r="J31">
        <v>865.43</v>
      </c>
      <c r="K31">
        <v>800.71</v>
      </c>
      <c r="L31" s="25">
        <v>676.71</v>
      </c>
      <c r="M31" s="27">
        <f t="shared" si="0"/>
        <v>-0.2180650081462393</v>
      </c>
      <c r="N31" s="27">
        <f t="shared" si="1"/>
        <v>-0.15486255947846284</v>
      </c>
      <c r="O31" s="26">
        <v>784.34</v>
      </c>
      <c r="P31" s="29">
        <v>1317.57</v>
      </c>
      <c r="R31" s="38" t="s">
        <v>57</v>
      </c>
      <c r="S31" s="29">
        <v>2209.4299999999998</v>
      </c>
      <c r="T31" s="39">
        <v>2334.14</v>
      </c>
      <c r="U31" s="39">
        <v>2341.4299999999998</v>
      </c>
      <c r="V31" s="39">
        <v>2207</v>
      </c>
      <c r="W31" s="39">
        <v>1877.86</v>
      </c>
      <c r="X31" s="39">
        <v>1539.29</v>
      </c>
    </row>
    <row r="32" spans="1:24" ht="15">
      <c r="A32">
        <v>31</v>
      </c>
      <c r="B32" t="s">
        <v>58</v>
      </c>
      <c r="C32" s="29">
        <f>VLOOKUP($B32,FY20_Ag_Vals!B:D,3,FALSE)</f>
        <v>1841.86</v>
      </c>
      <c r="D32" s="29">
        <f>VLOOKUP($B32,FY19_Ag_Vals!B:D,3,FALSE)</f>
        <v>2101.14</v>
      </c>
      <c r="J32">
        <v>818</v>
      </c>
      <c r="K32">
        <v>803</v>
      </c>
      <c r="L32" s="25">
        <v>752.43</v>
      </c>
      <c r="M32" s="27">
        <f t="shared" si="0"/>
        <v>-8.0158924205379067E-2</v>
      </c>
      <c r="N32" s="27">
        <f t="shared" si="1"/>
        <v>-6.2976338729763492E-2</v>
      </c>
      <c r="O32" s="26">
        <v>757.1</v>
      </c>
      <c r="P32" s="29">
        <v>1167</v>
      </c>
      <c r="R32" s="38" t="s">
        <v>58</v>
      </c>
      <c r="S32" s="29">
        <v>2203.5700000000002</v>
      </c>
      <c r="T32" s="39">
        <v>2216.14</v>
      </c>
      <c r="U32" s="39">
        <v>2124.29</v>
      </c>
      <c r="V32" s="39">
        <v>1947.29</v>
      </c>
      <c r="W32" s="39">
        <v>1643.14</v>
      </c>
      <c r="X32" s="39">
        <v>1401.29</v>
      </c>
    </row>
    <row r="33" spans="1:24" ht="15">
      <c r="A33">
        <v>32</v>
      </c>
      <c r="B33" t="s">
        <v>59</v>
      </c>
      <c r="C33" s="29">
        <f>VLOOKUP($B33,FY20_Ag_Vals!B:D,3,FALSE)</f>
        <v>1798.43</v>
      </c>
      <c r="D33" s="29">
        <f>VLOOKUP($B33,FY19_Ag_Vals!B:D,3,FALSE)</f>
        <v>2087.71</v>
      </c>
      <c r="J33">
        <v>895.71</v>
      </c>
      <c r="K33">
        <v>814.86</v>
      </c>
      <c r="L33" s="25">
        <v>690</v>
      </c>
      <c r="M33" s="27">
        <f t="shared" si="0"/>
        <v>-0.22966138593964569</v>
      </c>
      <c r="N33" s="27">
        <f t="shared" si="1"/>
        <v>-0.15322877549517711</v>
      </c>
      <c r="O33" s="26">
        <v>865.65</v>
      </c>
      <c r="P33" s="29">
        <v>1401.71</v>
      </c>
      <c r="R33" s="38" t="s">
        <v>59</v>
      </c>
      <c r="S33" s="29">
        <v>2223.4299999999998</v>
      </c>
      <c r="T33" s="39">
        <v>2392.86</v>
      </c>
      <c r="U33" s="39">
        <v>2462.71</v>
      </c>
      <c r="V33" s="39">
        <v>2370.14</v>
      </c>
      <c r="W33" s="39">
        <v>2044.71</v>
      </c>
      <c r="X33" s="39">
        <v>1697.43</v>
      </c>
    </row>
    <row r="34" spans="1:24" ht="15">
      <c r="A34">
        <v>33</v>
      </c>
      <c r="B34" t="s">
        <v>60</v>
      </c>
      <c r="C34" s="29">
        <f>VLOOKUP($B34,FY20_Ag_Vals!B:D,3,FALSE)</f>
        <v>1891</v>
      </c>
      <c r="D34" s="29">
        <f>VLOOKUP($B34,FY19_Ag_Vals!B:D,3,FALSE)</f>
        <v>2172.5700000000002</v>
      </c>
      <c r="J34">
        <v>920.43</v>
      </c>
      <c r="K34">
        <v>853.71</v>
      </c>
      <c r="L34" s="25">
        <v>793.71</v>
      </c>
      <c r="M34" s="27">
        <f t="shared" si="0"/>
        <v>-0.13767478243864273</v>
      </c>
      <c r="N34" s="27">
        <f t="shared" si="1"/>
        <v>-7.028147731665324E-2</v>
      </c>
      <c r="O34" s="26">
        <v>833.38</v>
      </c>
      <c r="P34" s="29">
        <v>1255.29</v>
      </c>
      <c r="R34" s="38" t="s">
        <v>60</v>
      </c>
      <c r="S34" s="29">
        <v>2311</v>
      </c>
      <c r="T34" s="39">
        <v>2286</v>
      </c>
      <c r="U34" s="39">
        <v>2283.14</v>
      </c>
      <c r="V34" s="39">
        <v>2111.4299999999998</v>
      </c>
      <c r="W34" s="39">
        <v>1753.86</v>
      </c>
      <c r="X34" s="39">
        <v>1528.43</v>
      </c>
    </row>
    <row r="35" spans="1:24" ht="15">
      <c r="A35">
        <v>34</v>
      </c>
      <c r="B35" t="s">
        <v>61</v>
      </c>
      <c r="C35" s="29">
        <f>VLOOKUP($B35,FY20_Ag_Vals!B:D,3,FALSE)</f>
        <v>1609.57</v>
      </c>
      <c r="D35" s="29">
        <f>VLOOKUP($B35,FY19_Ag_Vals!B:D,3,FALSE)</f>
        <v>1936.86</v>
      </c>
      <c r="J35">
        <v>924.43</v>
      </c>
      <c r="K35">
        <v>838.57</v>
      </c>
      <c r="L35" s="25">
        <v>733.43</v>
      </c>
      <c r="M35" s="27">
        <f t="shared" si="0"/>
        <v>-0.20661380526378414</v>
      </c>
      <c r="N35" s="27">
        <f t="shared" si="1"/>
        <v>-0.12538011138008764</v>
      </c>
      <c r="O35" s="26">
        <v>880.49</v>
      </c>
      <c r="P35" s="29">
        <v>1312.14</v>
      </c>
      <c r="R35" s="38" t="s">
        <v>61</v>
      </c>
      <c r="S35" s="29">
        <v>2113.86</v>
      </c>
      <c r="T35" s="39">
        <v>2250.4299999999998</v>
      </c>
      <c r="U35" s="39">
        <v>2334.5700000000002</v>
      </c>
      <c r="V35" s="39">
        <v>2361</v>
      </c>
      <c r="W35" s="39">
        <v>1941.14</v>
      </c>
      <c r="X35" s="39">
        <v>1636.43</v>
      </c>
    </row>
    <row r="36" spans="1:24" ht="15">
      <c r="A36">
        <v>35</v>
      </c>
      <c r="B36" t="s">
        <v>62</v>
      </c>
      <c r="C36" s="29">
        <f>VLOOKUP($B36,FY20_Ag_Vals!B:D,3,FALSE)</f>
        <v>1781.14</v>
      </c>
      <c r="D36" s="29">
        <f>VLOOKUP($B36,FY19_Ag_Vals!B:D,3,FALSE)</f>
        <v>2171.86</v>
      </c>
      <c r="J36">
        <v>911.43</v>
      </c>
      <c r="K36">
        <v>820.43</v>
      </c>
      <c r="L36" s="25">
        <v>723.57</v>
      </c>
      <c r="M36" s="27">
        <f t="shared" si="0"/>
        <v>-0.20611566439551021</v>
      </c>
      <c r="N36" s="27">
        <f t="shared" si="1"/>
        <v>-0.11806004168545747</v>
      </c>
      <c r="O36" s="26">
        <v>994.09</v>
      </c>
      <c r="P36" s="29">
        <v>1474</v>
      </c>
      <c r="R36" s="38" t="s">
        <v>62</v>
      </c>
      <c r="S36" s="29">
        <v>2335.29</v>
      </c>
      <c r="T36" s="39">
        <v>2454</v>
      </c>
      <c r="U36" s="39">
        <v>2485.29</v>
      </c>
      <c r="V36" s="39">
        <v>2425.4299999999998</v>
      </c>
      <c r="W36" s="39">
        <v>2004.86</v>
      </c>
      <c r="X36" s="39">
        <v>1694.71</v>
      </c>
    </row>
    <row r="37" spans="1:24" ht="15">
      <c r="A37">
        <v>36</v>
      </c>
      <c r="B37" t="s">
        <v>63</v>
      </c>
      <c r="C37" s="29">
        <f>VLOOKUP($B37,FY20_Ag_Vals!B:D,3,FALSE)</f>
        <v>1622.57</v>
      </c>
      <c r="D37" s="29">
        <f>VLOOKUP($B37,FY19_Ag_Vals!B:D,3,FALSE)</f>
        <v>1939.29</v>
      </c>
      <c r="J37">
        <v>714.14</v>
      </c>
      <c r="K37">
        <v>666.14</v>
      </c>
      <c r="L37" s="25">
        <v>565.29</v>
      </c>
      <c r="M37" s="27">
        <f t="shared" si="0"/>
        <v>-0.20843252023412784</v>
      </c>
      <c r="N37" s="27">
        <f t="shared" si="1"/>
        <v>-0.151394601735371</v>
      </c>
      <c r="O37" s="26">
        <v>527.91999999999996</v>
      </c>
      <c r="P37" s="29">
        <v>1084.1400000000001</v>
      </c>
      <c r="R37" s="38" t="s">
        <v>63</v>
      </c>
      <c r="S37" s="29">
        <v>2197.71</v>
      </c>
      <c r="T37" s="39">
        <v>2369.29</v>
      </c>
      <c r="U37" s="39">
        <v>2350.5700000000002</v>
      </c>
      <c r="V37" s="39">
        <v>2304.5700000000002</v>
      </c>
      <c r="W37" s="39">
        <v>1904.43</v>
      </c>
      <c r="X37" s="39">
        <v>1530</v>
      </c>
    </row>
    <row r="38" spans="1:24" ht="15">
      <c r="A38">
        <v>37</v>
      </c>
      <c r="B38" t="s">
        <v>64</v>
      </c>
      <c r="C38" s="29">
        <f>VLOOKUP($B38,FY20_Ag_Vals!B:D,3,FALSE)</f>
        <v>1588.43</v>
      </c>
      <c r="D38" s="29">
        <f>VLOOKUP($B38,FY19_Ag_Vals!B:D,3,FALSE)</f>
        <v>1890.29</v>
      </c>
      <c r="J38">
        <v>888.43</v>
      </c>
      <c r="K38">
        <v>734.29</v>
      </c>
      <c r="L38" s="25">
        <v>589.57000000000005</v>
      </c>
      <c r="M38" s="27">
        <f t="shared" si="0"/>
        <v>-0.33639116193735008</v>
      </c>
      <c r="N38" s="27">
        <f t="shared" si="1"/>
        <v>-0.19708834384235097</v>
      </c>
      <c r="O38" s="26">
        <v>841.11</v>
      </c>
      <c r="P38" s="29">
        <v>1347.29</v>
      </c>
      <c r="R38" s="38" t="s">
        <v>64</v>
      </c>
      <c r="S38" s="29">
        <v>2038</v>
      </c>
      <c r="T38" s="39">
        <v>2154.29</v>
      </c>
      <c r="U38" s="39">
        <v>2303.86</v>
      </c>
      <c r="V38" s="39">
        <v>2372</v>
      </c>
      <c r="W38" s="39">
        <v>1946.29</v>
      </c>
      <c r="X38" s="39">
        <v>1670.86</v>
      </c>
    </row>
    <row r="39" spans="1:24" ht="15">
      <c r="A39">
        <v>38</v>
      </c>
      <c r="B39" t="s">
        <v>65</v>
      </c>
      <c r="C39" s="29">
        <f>VLOOKUP($B39,FY20_Ag_Vals!B:D,3,FALSE)</f>
        <v>2121</v>
      </c>
      <c r="D39" s="29">
        <f>VLOOKUP($B39,FY19_Ag_Vals!B:D,3,FALSE)</f>
        <v>2390.14</v>
      </c>
      <c r="J39">
        <v>1040.71</v>
      </c>
      <c r="K39">
        <v>914</v>
      </c>
      <c r="L39" s="25">
        <v>822.71</v>
      </c>
      <c r="M39" s="27">
        <f t="shared" si="0"/>
        <v>-0.20947237943327146</v>
      </c>
      <c r="N39" s="27">
        <f t="shared" si="1"/>
        <v>-9.9879649890590727E-2</v>
      </c>
      <c r="O39" s="26">
        <v>1048.3</v>
      </c>
      <c r="P39" s="29">
        <v>1546.29</v>
      </c>
      <c r="R39" s="38" t="s">
        <v>65</v>
      </c>
      <c r="S39" s="29">
        <v>2664</v>
      </c>
      <c r="T39" s="39">
        <v>2729.14</v>
      </c>
      <c r="U39" s="39">
        <v>2772.57</v>
      </c>
      <c r="V39" s="39">
        <v>2696.43</v>
      </c>
      <c r="W39" s="39">
        <v>2326</v>
      </c>
      <c r="X39" s="39">
        <v>1897.29</v>
      </c>
    </row>
    <row r="40" spans="1:24" ht="15">
      <c r="A40">
        <v>39</v>
      </c>
      <c r="B40" t="s">
        <v>66</v>
      </c>
      <c r="C40" s="29">
        <f>VLOOKUP($B40,FY20_Ag_Vals!B:D,3,FALSE)</f>
        <v>1147.29</v>
      </c>
      <c r="D40" s="29">
        <f>VLOOKUP($B40,FY19_Ag_Vals!B:D,3,FALSE)</f>
        <v>1374.43</v>
      </c>
      <c r="J40">
        <v>614.71</v>
      </c>
      <c r="K40">
        <v>559.42999999999995</v>
      </c>
      <c r="L40" s="25">
        <v>471.57</v>
      </c>
      <c r="M40" s="27">
        <f t="shared" si="0"/>
        <v>-0.23285777033072508</v>
      </c>
      <c r="N40" s="27">
        <f t="shared" si="1"/>
        <v>-0.15705271436998369</v>
      </c>
      <c r="O40" s="26">
        <v>520.64</v>
      </c>
      <c r="P40" s="29">
        <v>973.14</v>
      </c>
      <c r="R40" s="38" t="s">
        <v>66</v>
      </c>
      <c r="S40" s="29">
        <v>1459.43</v>
      </c>
      <c r="T40" s="39">
        <v>1504.29</v>
      </c>
      <c r="U40" s="39">
        <v>1598.86</v>
      </c>
      <c r="V40" s="39">
        <v>1607</v>
      </c>
      <c r="W40" s="39">
        <v>1334.57</v>
      </c>
      <c r="X40" s="39">
        <v>1180.71</v>
      </c>
    </row>
    <row r="41" spans="1:24" ht="15">
      <c r="A41">
        <v>40</v>
      </c>
      <c r="B41" t="s">
        <v>67</v>
      </c>
      <c r="C41" s="29">
        <f>VLOOKUP($B41,FY20_Ag_Vals!B:D,3,FALSE)</f>
        <v>1748.57</v>
      </c>
      <c r="D41" s="29">
        <f>VLOOKUP($B41,FY19_Ag_Vals!B:D,3,FALSE)</f>
        <v>2022.71</v>
      </c>
      <c r="J41">
        <v>942.43</v>
      </c>
      <c r="K41">
        <v>787</v>
      </c>
      <c r="L41" s="25">
        <v>660.71</v>
      </c>
      <c r="M41" s="27">
        <f t="shared" si="0"/>
        <v>-0.29892936345404952</v>
      </c>
      <c r="N41" s="27">
        <f t="shared" si="1"/>
        <v>-0.16047013977128333</v>
      </c>
      <c r="O41" s="26">
        <v>910.28</v>
      </c>
      <c r="P41" s="29">
        <v>1446.71</v>
      </c>
      <c r="R41" s="38" t="s">
        <v>67</v>
      </c>
      <c r="S41" s="29">
        <v>2193.5700000000002</v>
      </c>
      <c r="T41" s="39">
        <v>2261.14</v>
      </c>
      <c r="U41" s="39">
        <v>2392.71</v>
      </c>
      <c r="V41" s="39">
        <v>2420.4299999999998</v>
      </c>
      <c r="W41" s="39">
        <v>2091.71</v>
      </c>
      <c r="X41" s="39">
        <v>1763.86</v>
      </c>
    </row>
    <row r="42" spans="1:24" ht="15">
      <c r="A42">
        <v>41</v>
      </c>
      <c r="B42" t="s">
        <v>68</v>
      </c>
      <c r="C42" s="29">
        <f>VLOOKUP($B42,FY20_Ag_Vals!B:D,3,FALSE)</f>
        <v>1755.71</v>
      </c>
      <c r="D42" s="29">
        <f>VLOOKUP($B42,FY19_Ag_Vals!B:D,3,FALSE)</f>
        <v>2096.86</v>
      </c>
      <c r="J42">
        <v>882.57</v>
      </c>
      <c r="K42">
        <v>811</v>
      </c>
      <c r="L42" s="25">
        <v>715.29</v>
      </c>
      <c r="M42" s="27">
        <f t="shared" si="0"/>
        <v>-0.18953737380604385</v>
      </c>
      <c r="N42" s="27">
        <f t="shared" si="1"/>
        <v>-0.11801479654747227</v>
      </c>
      <c r="O42" s="26">
        <v>835.7</v>
      </c>
      <c r="P42" s="29">
        <v>1447.14</v>
      </c>
      <c r="R42" s="38" t="s">
        <v>68</v>
      </c>
      <c r="S42" s="29">
        <v>2268.71</v>
      </c>
      <c r="T42" s="39">
        <v>2395.71</v>
      </c>
      <c r="U42" s="39">
        <v>2494.71</v>
      </c>
      <c r="V42" s="39">
        <v>2474.4299999999998</v>
      </c>
      <c r="W42" s="39">
        <v>2076.29</v>
      </c>
      <c r="X42" s="39">
        <v>1741.14</v>
      </c>
    </row>
    <row r="43" spans="1:24" ht="15">
      <c r="A43">
        <v>42</v>
      </c>
      <c r="B43" t="s">
        <v>69</v>
      </c>
      <c r="C43" s="29">
        <f>VLOOKUP($B43,FY20_Ag_Vals!B:D,3,FALSE)</f>
        <v>1777</v>
      </c>
      <c r="D43" s="29">
        <f>VLOOKUP($B43,FY19_Ag_Vals!B:D,3,FALSE)</f>
        <v>2072</v>
      </c>
      <c r="J43">
        <v>961.14</v>
      </c>
      <c r="K43">
        <v>837.71</v>
      </c>
      <c r="L43" s="25">
        <v>744</v>
      </c>
      <c r="M43" s="27">
        <f t="shared" si="0"/>
        <v>-0.22591922092515138</v>
      </c>
      <c r="N43" s="27">
        <f t="shared" si="1"/>
        <v>-0.11186448771054425</v>
      </c>
      <c r="O43" s="26">
        <v>869.12</v>
      </c>
      <c r="P43" s="29">
        <v>1573.14</v>
      </c>
      <c r="R43" s="38" t="s">
        <v>69</v>
      </c>
      <c r="S43" s="29">
        <v>2314.29</v>
      </c>
      <c r="T43" s="39">
        <v>2377.5700000000002</v>
      </c>
      <c r="U43" s="39">
        <v>2440.14</v>
      </c>
      <c r="V43" s="39">
        <v>2419.71</v>
      </c>
      <c r="W43" s="39">
        <v>2119</v>
      </c>
      <c r="X43" s="39">
        <v>1772.57</v>
      </c>
    </row>
    <row r="44" spans="1:24" ht="15">
      <c r="A44">
        <v>43</v>
      </c>
      <c r="B44" t="s">
        <v>70</v>
      </c>
      <c r="C44" s="29">
        <f>VLOOKUP($B44,FY20_Ag_Vals!B:D,3,FALSE)</f>
        <v>1591.86</v>
      </c>
      <c r="D44" s="29">
        <f>VLOOKUP($B44,FY19_Ag_Vals!B:D,3,FALSE)</f>
        <v>1896.29</v>
      </c>
      <c r="J44">
        <v>648</v>
      </c>
      <c r="K44">
        <v>587.57000000000005</v>
      </c>
      <c r="L44" s="25">
        <v>482.86</v>
      </c>
      <c r="M44" s="27">
        <f t="shared" si="0"/>
        <v>-0.25484567901234567</v>
      </c>
      <c r="N44" s="27">
        <f t="shared" si="1"/>
        <v>-0.17820855387443202</v>
      </c>
      <c r="O44" s="26">
        <v>528.20000000000005</v>
      </c>
      <c r="P44" s="29">
        <v>988</v>
      </c>
      <c r="R44" s="38" t="s">
        <v>70</v>
      </c>
      <c r="S44" s="29">
        <v>2079.4299999999998</v>
      </c>
      <c r="T44" s="39">
        <v>2264.14</v>
      </c>
      <c r="U44" s="39">
        <v>2303.14</v>
      </c>
      <c r="V44" s="39">
        <v>2277</v>
      </c>
      <c r="W44" s="39">
        <v>1791.86</v>
      </c>
      <c r="X44" s="39">
        <v>1397.29</v>
      </c>
    </row>
    <row r="45" spans="1:24" ht="15">
      <c r="A45">
        <v>44</v>
      </c>
      <c r="B45" t="s">
        <v>71</v>
      </c>
      <c r="C45" s="29">
        <f>VLOOKUP($B45,FY20_Ag_Vals!B:D,3,FALSE)</f>
        <v>1371.14</v>
      </c>
      <c r="D45" s="29">
        <f>VLOOKUP($B45,FY19_Ag_Vals!B:D,3,FALSE)</f>
        <v>1550.14</v>
      </c>
      <c r="J45">
        <v>742.29</v>
      </c>
      <c r="K45">
        <v>689.86</v>
      </c>
      <c r="L45" s="25">
        <v>604.86</v>
      </c>
      <c r="M45" s="27">
        <f t="shared" si="0"/>
        <v>-0.185143272844845</v>
      </c>
      <c r="N45" s="27">
        <f t="shared" si="1"/>
        <v>-0.12321340561853134</v>
      </c>
      <c r="O45" s="26">
        <v>624.08000000000004</v>
      </c>
      <c r="P45" s="29">
        <v>1103.57</v>
      </c>
      <c r="R45" s="38" t="s">
        <v>71</v>
      </c>
      <c r="S45" s="29">
        <v>1631.29</v>
      </c>
      <c r="T45" s="39">
        <v>1625.86</v>
      </c>
      <c r="U45" s="39">
        <v>1724.86</v>
      </c>
      <c r="V45" s="39">
        <v>1677.29</v>
      </c>
      <c r="W45" s="39">
        <v>1480.43</v>
      </c>
      <c r="X45" s="39">
        <v>1305.29</v>
      </c>
    </row>
    <row r="46" spans="1:24" ht="15">
      <c r="A46">
        <v>45</v>
      </c>
      <c r="B46" t="s">
        <v>72</v>
      </c>
      <c r="C46" s="29">
        <f>VLOOKUP($B46,FY20_Ag_Vals!B:D,3,FALSE)</f>
        <v>1575.29</v>
      </c>
      <c r="D46" s="29">
        <f>VLOOKUP($B46,FY19_Ag_Vals!B:D,3,FALSE)</f>
        <v>1895.86</v>
      </c>
      <c r="J46">
        <v>848.29</v>
      </c>
      <c r="K46">
        <v>782.14</v>
      </c>
      <c r="L46" s="25">
        <v>665.43</v>
      </c>
      <c r="M46" s="27">
        <f t="shared" si="0"/>
        <v>-0.2155630739487675</v>
      </c>
      <c r="N46" s="27">
        <f t="shared" si="1"/>
        <v>-0.14921880993172587</v>
      </c>
      <c r="O46" s="26">
        <v>776.07</v>
      </c>
      <c r="P46" s="29">
        <v>1163.43</v>
      </c>
      <c r="R46" s="38" t="s">
        <v>72</v>
      </c>
      <c r="S46" s="29">
        <v>2099</v>
      </c>
      <c r="T46" s="39">
        <v>2183.86</v>
      </c>
      <c r="U46" s="39">
        <v>2384.29</v>
      </c>
      <c r="V46" s="39">
        <v>2229.5700000000002</v>
      </c>
      <c r="W46" s="39">
        <v>1830</v>
      </c>
      <c r="X46" s="39">
        <v>1503.29</v>
      </c>
    </row>
    <row r="47" spans="1:24" ht="15">
      <c r="A47">
        <v>46</v>
      </c>
      <c r="B47" s="28" t="s">
        <v>73</v>
      </c>
      <c r="C47" s="29">
        <f>VLOOKUP($B47,FY20_Ag_Vals!B:D,3,FALSE)</f>
        <v>1794.86</v>
      </c>
      <c r="D47" s="29">
        <f>VLOOKUP($B47,FY19_Ag_Vals!B:D,3,FALSE)</f>
        <v>2158</v>
      </c>
      <c r="J47">
        <v>960.14</v>
      </c>
      <c r="K47">
        <v>842.86</v>
      </c>
      <c r="L47" s="25">
        <v>697.57</v>
      </c>
      <c r="M47" s="27">
        <f t="shared" si="0"/>
        <v>-0.27347053554689937</v>
      </c>
      <c r="N47" s="27">
        <f t="shared" si="1"/>
        <v>-0.17237738177158712</v>
      </c>
      <c r="O47" s="26">
        <v>876.27</v>
      </c>
      <c r="P47" s="29">
        <v>1380.57</v>
      </c>
      <c r="R47" s="38" t="s">
        <v>73</v>
      </c>
      <c r="S47" s="29">
        <v>2257.71</v>
      </c>
      <c r="T47" s="39">
        <v>2390.29</v>
      </c>
      <c r="U47" s="39">
        <v>2505.5700000000002</v>
      </c>
      <c r="V47" s="39">
        <v>2471.29</v>
      </c>
      <c r="W47" s="39">
        <v>2051.86</v>
      </c>
      <c r="X47" s="39">
        <v>1760.86</v>
      </c>
    </row>
    <row r="48" spans="1:24" ht="15">
      <c r="A48">
        <v>47</v>
      </c>
      <c r="B48" t="s">
        <v>74</v>
      </c>
      <c r="C48" s="29">
        <f>VLOOKUP($B48,FY20_Ag_Vals!B:D,3,FALSE)</f>
        <v>2046</v>
      </c>
      <c r="D48" s="29">
        <f>VLOOKUP($B48,FY19_Ag_Vals!B:D,3,FALSE)</f>
        <v>2392.71</v>
      </c>
      <c r="J48">
        <v>908.71</v>
      </c>
      <c r="K48">
        <v>758.86</v>
      </c>
      <c r="L48" s="25">
        <v>677.14</v>
      </c>
      <c r="M48" s="27">
        <f t="shared" si="0"/>
        <v>-0.25483377535187246</v>
      </c>
      <c r="N48" s="27">
        <f t="shared" si="1"/>
        <v>-0.10768784756081495</v>
      </c>
      <c r="O48" s="26">
        <v>699.35</v>
      </c>
      <c r="P48" s="29">
        <v>1280.57</v>
      </c>
      <c r="R48" s="38" t="s">
        <v>74</v>
      </c>
      <c r="S48" s="29">
        <v>2573</v>
      </c>
      <c r="T48" s="39">
        <v>2642.57</v>
      </c>
      <c r="U48" s="39">
        <v>2678</v>
      </c>
      <c r="V48" s="39">
        <v>2548.14</v>
      </c>
      <c r="W48" s="39">
        <v>2018.43</v>
      </c>
      <c r="X48" s="39">
        <v>1646.71</v>
      </c>
    </row>
    <row r="49" spans="1:24" ht="15">
      <c r="A49">
        <v>48</v>
      </c>
      <c r="B49" t="s">
        <v>75</v>
      </c>
      <c r="C49" s="29">
        <f>VLOOKUP($B49,FY20_Ag_Vals!B:D,3,FALSE)</f>
        <v>1631</v>
      </c>
      <c r="D49" s="29">
        <f>VLOOKUP($B49,FY19_Ag_Vals!B:D,3,FALSE)</f>
        <v>1862</v>
      </c>
      <c r="J49">
        <v>799.71</v>
      </c>
      <c r="K49">
        <v>774.14</v>
      </c>
      <c r="L49" s="25">
        <v>722.57</v>
      </c>
      <c r="M49" s="27">
        <f t="shared" si="0"/>
        <v>-9.6459966737942437E-2</v>
      </c>
      <c r="N49" s="27">
        <f t="shared" si="1"/>
        <v>-6.6615857596816985E-2</v>
      </c>
      <c r="O49" s="26">
        <v>769.32</v>
      </c>
      <c r="P49" s="29">
        <v>1079.29</v>
      </c>
      <c r="R49" s="38" t="s">
        <v>75</v>
      </c>
      <c r="S49" s="29">
        <v>1968.57</v>
      </c>
      <c r="T49" s="39">
        <v>1997.43</v>
      </c>
      <c r="U49" s="39">
        <v>2018.57</v>
      </c>
      <c r="V49" s="39">
        <v>1913.57</v>
      </c>
      <c r="W49" s="39">
        <v>1632</v>
      </c>
      <c r="X49" s="39">
        <v>1326.71</v>
      </c>
    </row>
    <row r="50" spans="1:24" ht="15">
      <c r="A50">
        <v>49</v>
      </c>
      <c r="B50" t="s">
        <v>76</v>
      </c>
      <c r="C50" s="29">
        <f>VLOOKUP($B50,FY20_Ag_Vals!B:D,3,FALSE)</f>
        <v>1643.71</v>
      </c>
      <c r="D50" s="29">
        <f>VLOOKUP($B50,FY19_Ag_Vals!B:D,3,FALSE)</f>
        <v>1897</v>
      </c>
      <c r="J50">
        <v>694.57</v>
      </c>
      <c r="K50">
        <v>686.57</v>
      </c>
      <c r="L50" s="25">
        <v>652</v>
      </c>
      <c r="M50" s="27">
        <f t="shared" si="0"/>
        <v>-6.1289718818837602E-2</v>
      </c>
      <c r="N50" s="27">
        <f t="shared" si="1"/>
        <v>-5.0351748547125652E-2</v>
      </c>
      <c r="O50" s="26">
        <v>652.4</v>
      </c>
      <c r="P50" s="29">
        <v>868.14</v>
      </c>
      <c r="R50" s="38" t="s">
        <v>76</v>
      </c>
      <c r="S50" s="29">
        <v>1970.29</v>
      </c>
      <c r="T50" s="39">
        <v>1937.43</v>
      </c>
      <c r="U50" s="39">
        <v>1900.71</v>
      </c>
      <c r="V50" s="39">
        <v>1792.14</v>
      </c>
      <c r="W50" s="39">
        <v>1461.14</v>
      </c>
      <c r="X50" s="39">
        <v>1126.43</v>
      </c>
    </row>
    <row r="51" spans="1:24" ht="15">
      <c r="A51">
        <v>50</v>
      </c>
      <c r="B51" t="s">
        <v>77</v>
      </c>
      <c r="C51" s="29">
        <f>VLOOKUP($B51,FY20_Ag_Vals!B:D,3,FALSE)</f>
        <v>1753.43</v>
      </c>
      <c r="D51" s="29">
        <f>VLOOKUP($B51,FY19_Ag_Vals!B:D,3,FALSE)</f>
        <v>1952.71</v>
      </c>
      <c r="J51">
        <v>886.29</v>
      </c>
      <c r="K51">
        <v>800.43</v>
      </c>
      <c r="L51" s="25">
        <v>709.57</v>
      </c>
      <c r="M51" s="27">
        <f t="shared" si="0"/>
        <v>-0.19939297521127386</v>
      </c>
      <c r="N51" s="27">
        <f t="shared" si="1"/>
        <v>-0.11351398623239994</v>
      </c>
      <c r="O51" s="26">
        <v>719.68</v>
      </c>
      <c r="P51" s="29">
        <v>1261.43</v>
      </c>
      <c r="R51" s="38" t="s">
        <v>77</v>
      </c>
      <c r="S51" s="29">
        <v>2030.14</v>
      </c>
      <c r="T51" s="39">
        <v>2033.14</v>
      </c>
      <c r="U51" s="39">
        <v>2088.71</v>
      </c>
      <c r="V51" s="39">
        <v>2054.29</v>
      </c>
      <c r="W51" s="39">
        <v>1777.43</v>
      </c>
      <c r="X51" s="39">
        <v>1545.14</v>
      </c>
    </row>
    <row r="52" spans="1:24" ht="15">
      <c r="A52">
        <v>51</v>
      </c>
      <c r="B52" t="s">
        <v>78</v>
      </c>
      <c r="C52" s="29">
        <f>VLOOKUP($B52,FY20_Ag_Vals!B:D,3,FALSE)</f>
        <v>1449.29</v>
      </c>
      <c r="D52" s="29">
        <f>VLOOKUP($B52,FY19_Ag_Vals!B:D,3,FALSE)</f>
        <v>1582.71</v>
      </c>
      <c r="J52">
        <v>549.57000000000005</v>
      </c>
      <c r="K52">
        <v>531.14</v>
      </c>
      <c r="L52" s="25">
        <v>461.71</v>
      </c>
      <c r="M52" s="27">
        <f t="shared" si="0"/>
        <v>-0.1598704441654385</v>
      </c>
      <c r="N52" s="27">
        <f t="shared" si="1"/>
        <v>-0.13071883119328243</v>
      </c>
      <c r="O52" s="26">
        <v>475.71</v>
      </c>
      <c r="P52" s="29">
        <v>998.29</v>
      </c>
      <c r="R52" s="38" t="s">
        <v>78</v>
      </c>
      <c r="S52" s="29">
        <v>1644.86</v>
      </c>
      <c r="T52" s="39">
        <v>1631.71</v>
      </c>
      <c r="U52" s="39">
        <v>1628</v>
      </c>
      <c r="V52" s="39">
        <v>1602.29</v>
      </c>
      <c r="W52" s="39">
        <v>1403.86</v>
      </c>
      <c r="X52" s="39">
        <v>1248.43</v>
      </c>
    </row>
    <row r="53" spans="1:24" ht="15">
      <c r="A53">
        <v>52</v>
      </c>
      <c r="B53" t="s">
        <v>79</v>
      </c>
      <c r="C53" s="29">
        <f>VLOOKUP($B53,FY20_Ag_Vals!B:D,3,FALSE)</f>
        <v>1526</v>
      </c>
      <c r="D53" s="29">
        <f>VLOOKUP($B53,FY19_Ag_Vals!B:D,3,FALSE)</f>
        <v>1798.29</v>
      </c>
      <c r="J53">
        <v>785.86</v>
      </c>
      <c r="K53">
        <v>747.14</v>
      </c>
      <c r="L53" s="25">
        <v>695.71</v>
      </c>
      <c r="M53" s="27">
        <f t="shared" si="0"/>
        <v>-0.11471508920163898</v>
      </c>
      <c r="N53" s="27">
        <f t="shared" si="1"/>
        <v>-6.8835827288058371E-2</v>
      </c>
      <c r="O53" s="26">
        <v>645.41</v>
      </c>
      <c r="P53" s="29">
        <v>1113.1400000000001</v>
      </c>
      <c r="R53" s="38" t="s">
        <v>79</v>
      </c>
      <c r="S53" s="29">
        <v>1900</v>
      </c>
      <c r="T53" s="39">
        <v>1952.57</v>
      </c>
      <c r="U53" s="39">
        <v>1915.86</v>
      </c>
      <c r="V53" s="39">
        <v>1811.29</v>
      </c>
      <c r="W53" s="39">
        <v>1556.29</v>
      </c>
      <c r="X53" s="39">
        <v>1275.1400000000001</v>
      </c>
    </row>
    <row r="54" spans="1:24" ht="15">
      <c r="A54">
        <v>53</v>
      </c>
      <c r="B54" t="s">
        <v>80</v>
      </c>
      <c r="C54" s="29">
        <f>VLOOKUP($B54,FY20_Ag_Vals!B:D,3,FALSE)</f>
        <v>1749.14</v>
      </c>
      <c r="D54" s="29">
        <f>VLOOKUP($B54,FY19_Ag_Vals!B:D,3,FALSE)</f>
        <v>2059.4299999999998</v>
      </c>
      <c r="J54">
        <v>923</v>
      </c>
      <c r="K54">
        <v>865</v>
      </c>
      <c r="L54" s="25">
        <v>805.86</v>
      </c>
      <c r="M54" s="27">
        <f t="shared" si="0"/>
        <v>-0.12691224268689061</v>
      </c>
      <c r="N54" s="27">
        <f t="shared" si="1"/>
        <v>-6.8369942196531808E-2</v>
      </c>
      <c r="O54" s="26">
        <v>813.97</v>
      </c>
      <c r="P54" s="29">
        <v>1262.8599999999999</v>
      </c>
      <c r="R54" s="38" t="s">
        <v>80</v>
      </c>
      <c r="S54" s="29">
        <v>2259.14</v>
      </c>
      <c r="T54" s="39">
        <v>2352.4299999999998</v>
      </c>
      <c r="U54" s="39">
        <v>2331.14</v>
      </c>
      <c r="V54" s="39">
        <v>2234.4299999999998</v>
      </c>
      <c r="W54" s="39">
        <v>1918.57</v>
      </c>
      <c r="X54" s="39">
        <v>1544</v>
      </c>
    </row>
    <row r="55" spans="1:24" ht="15">
      <c r="A55">
        <v>54</v>
      </c>
      <c r="B55" t="s">
        <v>81</v>
      </c>
      <c r="C55" s="29">
        <f>VLOOKUP($B55,FY20_Ag_Vals!B:D,3,FALSE)</f>
        <v>1582.43</v>
      </c>
      <c r="D55" s="29">
        <f>VLOOKUP($B55,FY19_Ag_Vals!B:D,3,FALSE)</f>
        <v>1809.86</v>
      </c>
      <c r="J55">
        <v>683</v>
      </c>
      <c r="K55">
        <v>674.14</v>
      </c>
      <c r="L55" s="25">
        <v>601.29</v>
      </c>
      <c r="M55" s="27">
        <f t="shared" si="0"/>
        <v>-0.11963396778916546</v>
      </c>
      <c r="N55" s="27">
        <f t="shared" si="1"/>
        <v>-0.10806360696591211</v>
      </c>
      <c r="O55" s="26">
        <v>736.61</v>
      </c>
      <c r="P55" s="29">
        <v>1017.71</v>
      </c>
      <c r="R55" s="38" t="s">
        <v>81</v>
      </c>
      <c r="S55" s="29">
        <v>1857.86</v>
      </c>
      <c r="T55" s="39">
        <v>1846.29</v>
      </c>
      <c r="U55" s="39">
        <v>1849.71</v>
      </c>
      <c r="V55" s="39">
        <v>1785.29</v>
      </c>
      <c r="W55" s="39">
        <v>1471.14</v>
      </c>
      <c r="X55" s="39">
        <v>1250.57</v>
      </c>
    </row>
    <row r="56" spans="1:24" ht="15">
      <c r="A56">
        <v>55</v>
      </c>
      <c r="B56" t="s">
        <v>82</v>
      </c>
      <c r="C56" s="29">
        <f>VLOOKUP($B56,FY20_Ag_Vals!B:D,3,FALSE)</f>
        <v>1890.86</v>
      </c>
      <c r="D56" s="29">
        <f>VLOOKUP($B56,FY19_Ag_Vals!B:D,3,FALSE)</f>
        <v>2256.14</v>
      </c>
      <c r="J56">
        <v>936.71</v>
      </c>
      <c r="K56">
        <v>856.57</v>
      </c>
      <c r="L56" s="25">
        <v>746.43</v>
      </c>
      <c r="M56" s="27">
        <f t="shared" si="0"/>
        <v>-0.20313650969883967</v>
      </c>
      <c r="N56" s="27">
        <f t="shared" si="1"/>
        <v>-0.12858260270614208</v>
      </c>
      <c r="O56" s="26">
        <v>947.6</v>
      </c>
      <c r="P56" s="29">
        <v>1460.14</v>
      </c>
      <c r="R56" s="38" t="s">
        <v>82</v>
      </c>
      <c r="S56" s="29">
        <v>2440.14</v>
      </c>
      <c r="T56" s="39">
        <v>2590.4299999999998</v>
      </c>
      <c r="U56" s="39">
        <v>2712.29</v>
      </c>
      <c r="V56" s="39">
        <v>2619</v>
      </c>
      <c r="W56" s="39">
        <v>2209.14</v>
      </c>
      <c r="X56" s="39">
        <v>1832.29</v>
      </c>
    </row>
    <row r="57" spans="1:24" ht="15">
      <c r="A57">
        <v>56</v>
      </c>
      <c r="B57" t="s">
        <v>83</v>
      </c>
      <c r="C57" s="29">
        <f>VLOOKUP($B57,FY20_Ag_Vals!B:D,3,FALSE)</f>
        <v>1293.43</v>
      </c>
      <c r="D57" s="29">
        <f>VLOOKUP($B57,FY19_Ag_Vals!B:D,3,FALSE)</f>
        <v>1358.57</v>
      </c>
      <c r="J57">
        <v>637.57000000000005</v>
      </c>
      <c r="K57">
        <v>598.14</v>
      </c>
      <c r="L57" s="25">
        <v>525.71</v>
      </c>
      <c r="M57" s="27">
        <f t="shared" si="0"/>
        <v>-0.17544740185391405</v>
      </c>
      <c r="N57" s="27">
        <f t="shared" si="1"/>
        <v>-0.12109205202795326</v>
      </c>
      <c r="O57" s="26">
        <v>541.64</v>
      </c>
      <c r="P57" s="29">
        <v>896.29</v>
      </c>
      <c r="R57" s="38" t="s">
        <v>83</v>
      </c>
      <c r="S57" s="29">
        <v>1480.43</v>
      </c>
      <c r="T57" s="39">
        <v>1445.57</v>
      </c>
      <c r="U57" s="39">
        <v>1491.86</v>
      </c>
      <c r="V57" s="39">
        <v>1487.57</v>
      </c>
      <c r="W57" s="39">
        <v>1278.71</v>
      </c>
      <c r="X57" s="39">
        <v>1085.29</v>
      </c>
    </row>
    <row r="58" spans="1:24" ht="15">
      <c r="A58">
        <v>57</v>
      </c>
      <c r="B58" t="s">
        <v>84</v>
      </c>
      <c r="C58" s="29">
        <f>VLOOKUP($B58,FY20_Ag_Vals!B:D,3,FALSE)</f>
        <v>1818</v>
      </c>
      <c r="D58" s="29">
        <f>VLOOKUP($B58,FY19_Ag_Vals!B:D,3,FALSE)</f>
        <v>2077.4299999999998</v>
      </c>
      <c r="J58">
        <v>856</v>
      </c>
      <c r="K58">
        <v>815.86</v>
      </c>
      <c r="L58" s="25">
        <v>734.43</v>
      </c>
      <c r="M58" s="27">
        <f t="shared" si="0"/>
        <v>-0.14202102803738326</v>
      </c>
      <c r="N58" s="27">
        <f t="shared" si="1"/>
        <v>-9.980879072389881E-2</v>
      </c>
      <c r="O58" s="26">
        <v>863.34</v>
      </c>
      <c r="P58" s="29">
        <v>1254.1400000000001</v>
      </c>
      <c r="R58" s="38" t="s">
        <v>84</v>
      </c>
      <c r="S58" s="29">
        <v>2258.5700000000002</v>
      </c>
      <c r="T58" s="39">
        <v>2362.5700000000002</v>
      </c>
      <c r="U58" s="39">
        <v>2350.14</v>
      </c>
      <c r="V58" s="39">
        <v>2287.14</v>
      </c>
      <c r="W58" s="39">
        <v>1931</v>
      </c>
      <c r="X58" s="39">
        <v>1561.86</v>
      </c>
    </row>
    <row r="59" spans="1:24" ht="15">
      <c r="A59">
        <v>58</v>
      </c>
      <c r="B59" t="s">
        <v>85</v>
      </c>
      <c r="C59" s="29">
        <f>VLOOKUP($B59,FY20_Ag_Vals!B:D,3,FALSE)</f>
        <v>1986.14</v>
      </c>
      <c r="D59" s="29">
        <f>VLOOKUP($B59,FY19_Ag_Vals!B:D,3,FALSE)</f>
        <v>2234.5700000000002</v>
      </c>
      <c r="J59">
        <v>732.57</v>
      </c>
      <c r="K59">
        <v>683.14</v>
      </c>
      <c r="L59" s="25">
        <v>592</v>
      </c>
      <c r="M59" s="27">
        <f t="shared" si="0"/>
        <v>-0.19188609962187919</v>
      </c>
      <c r="N59" s="27">
        <f t="shared" si="1"/>
        <v>-0.13341335597388526</v>
      </c>
      <c r="O59" s="26">
        <v>670.53</v>
      </c>
      <c r="P59" s="29">
        <v>1163.71</v>
      </c>
      <c r="R59" s="38" t="s">
        <v>85</v>
      </c>
      <c r="S59" s="29">
        <v>2287.5700000000002</v>
      </c>
      <c r="T59" s="39">
        <v>2219.71</v>
      </c>
      <c r="U59" s="39">
        <v>2225.71</v>
      </c>
      <c r="V59" s="39">
        <v>2085.5700000000002</v>
      </c>
      <c r="W59" s="39">
        <v>1739</v>
      </c>
      <c r="X59" s="39">
        <v>1459.71</v>
      </c>
    </row>
    <row r="60" spans="1:24" ht="15">
      <c r="A60">
        <v>59</v>
      </c>
      <c r="B60" t="s">
        <v>86</v>
      </c>
      <c r="C60" s="29">
        <f>VLOOKUP($B60,FY20_Ag_Vals!B:D,3,FALSE)</f>
        <v>740.29</v>
      </c>
      <c r="D60" s="29">
        <f>VLOOKUP($B60,FY19_Ag_Vals!B:D,3,FALSE)</f>
        <v>797.86</v>
      </c>
      <c r="J60">
        <v>343.86</v>
      </c>
      <c r="K60">
        <v>354</v>
      </c>
      <c r="L60" s="25">
        <v>318.57</v>
      </c>
      <c r="M60" s="27">
        <f t="shared" si="0"/>
        <v>-7.3547373931251103E-2</v>
      </c>
      <c r="N60" s="27">
        <f t="shared" si="1"/>
        <v>-0.10008474576271187</v>
      </c>
      <c r="O60" s="26">
        <v>281.82</v>
      </c>
      <c r="P60" s="29">
        <v>398</v>
      </c>
      <c r="R60" s="38" t="s">
        <v>86</v>
      </c>
      <c r="S60" s="29">
        <v>812.71</v>
      </c>
      <c r="T60" s="39">
        <v>762.43</v>
      </c>
      <c r="U60" s="39">
        <v>725.29</v>
      </c>
      <c r="V60" s="39">
        <v>716.29</v>
      </c>
      <c r="W60" s="39">
        <v>574.86</v>
      </c>
      <c r="X60" s="39">
        <v>515.86</v>
      </c>
    </row>
    <row r="61" spans="1:24" ht="15">
      <c r="A61">
        <v>60</v>
      </c>
      <c r="B61" t="s">
        <v>87</v>
      </c>
      <c r="C61" s="29">
        <f>VLOOKUP($B61,FY20_Ag_Vals!B:D,3,FALSE)</f>
        <v>2083</v>
      </c>
      <c r="D61" s="29">
        <f>VLOOKUP($B61,FY19_Ag_Vals!B:D,3,FALSE)</f>
        <v>2475</v>
      </c>
      <c r="J61">
        <v>897</v>
      </c>
      <c r="K61">
        <v>805.57</v>
      </c>
      <c r="L61" s="25">
        <v>694.57</v>
      </c>
      <c r="M61" s="27">
        <f t="shared" si="0"/>
        <v>-0.22567447045707911</v>
      </c>
      <c r="N61" s="27">
        <f t="shared" si="1"/>
        <v>-0.13779063271968917</v>
      </c>
      <c r="O61" s="26">
        <v>819.91</v>
      </c>
      <c r="P61" s="29">
        <v>1430.71</v>
      </c>
      <c r="R61" s="38" t="s">
        <v>87</v>
      </c>
      <c r="S61" s="29">
        <v>2816.43</v>
      </c>
      <c r="T61" s="39">
        <v>3017</v>
      </c>
      <c r="U61" s="39">
        <v>3102.29</v>
      </c>
      <c r="V61" s="39">
        <v>2907.14</v>
      </c>
      <c r="W61" s="39">
        <v>2365.71</v>
      </c>
      <c r="X61" s="39">
        <v>1881</v>
      </c>
    </row>
    <row r="62" spans="1:24" ht="15">
      <c r="A62">
        <v>61</v>
      </c>
      <c r="B62" t="s">
        <v>88</v>
      </c>
      <c r="C62" s="29">
        <f>VLOOKUP($B62,FY20_Ag_Vals!B:D,3,FALSE)</f>
        <v>989.43</v>
      </c>
      <c r="D62" s="29">
        <f>VLOOKUP($B62,FY19_Ag_Vals!B:D,3,FALSE)</f>
        <v>1111.43</v>
      </c>
      <c r="J62">
        <v>482.14</v>
      </c>
      <c r="K62">
        <v>460</v>
      </c>
      <c r="L62" s="25">
        <v>411.29</v>
      </c>
      <c r="M62" s="27">
        <f t="shared" si="0"/>
        <v>-0.14694901895714929</v>
      </c>
      <c r="N62" s="27">
        <f t="shared" si="1"/>
        <v>-0.10589130434782601</v>
      </c>
      <c r="O62" s="26">
        <v>420.13</v>
      </c>
      <c r="P62" s="29">
        <v>704</v>
      </c>
      <c r="R62" s="38" t="s">
        <v>88</v>
      </c>
      <c r="S62" s="29">
        <v>1193</v>
      </c>
      <c r="T62" s="39">
        <v>1236.57</v>
      </c>
      <c r="U62" s="39">
        <v>1276.57</v>
      </c>
      <c r="V62" s="39">
        <v>1305.71</v>
      </c>
      <c r="W62" s="39">
        <v>1115.43</v>
      </c>
      <c r="X62" s="39">
        <v>939</v>
      </c>
    </row>
    <row r="63" spans="1:24" ht="15">
      <c r="A63">
        <v>62</v>
      </c>
      <c r="B63" t="s">
        <v>89</v>
      </c>
      <c r="C63" s="29">
        <f>VLOOKUP($B63,FY20_Ag_Vals!B:D,3,FALSE)</f>
        <v>1695.29</v>
      </c>
      <c r="D63" s="29">
        <f>VLOOKUP($B63,FY19_Ag_Vals!B:D,3,FALSE)</f>
        <v>2033.14</v>
      </c>
      <c r="J63">
        <v>756.43</v>
      </c>
      <c r="K63">
        <v>713</v>
      </c>
      <c r="L63" s="25">
        <v>639.86</v>
      </c>
      <c r="M63" s="27">
        <f t="shared" si="0"/>
        <v>-0.15410546911148415</v>
      </c>
      <c r="N63" s="27">
        <f t="shared" si="1"/>
        <v>-0.10258064516129028</v>
      </c>
      <c r="O63" s="26">
        <v>717.46</v>
      </c>
      <c r="P63" s="29">
        <v>1213.71</v>
      </c>
      <c r="R63" s="38" t="s">
        <v>89</v>
      </c>
      <c r="S63" s="29">
        <v>2122</v>
      </c>
      <c r="T63" s="39">
        <v>2235.4299999999998</v>
      </c>
      <c r="U63" s="39">
        <v>2319.4299999999998</v>
      </c>
      <c r="V63" s="39">
        <v>2229.71</v>
      </c>
      <c r="W63" s="39">
        <v>1808.71</v>
      </c>
      <c r="X63" s="39">
        <v>1553.71</v>
      </c>
    </row>
    <row r="64" spans="1:24" ht="15">
      <c r="A64">
        <v>63</v>
      </c>
      <c r="B64" t="s">
        <v>90</v>
      </c>
      <c r="C64" s="29">
        <f>VLOOKUP($B64,FY20_Ag_Vals!B:D,3,FALSE)</f>
        <v>1331.86</v>
      </c>
      <c r="D64" s="29">
        <f>VLOOKUP($B64,FY19_Ag_Vals!B:D,3,FALSE)</f>
        <v>1521</v>
      </c>
      <c r="J64">
        <v>540.14</v>
      </c>
      <c r="K64">
        <v>519.42999999999995</v>
      </c>
      <c r="L64" s="25">
        <v>474.14</v>
      </c>
      <c r="M64" s="27">
        <f t="shared" si="0"/>
        <v>-0.12219054319250566</v>
      </c>
      <c r="N64" s="27">
        <f t="shared" si="1"/>
        <v>-8.7191729395683648E-2</v>
      </c>
      <c r="O64" s="26">
        <v>620.62</v>
      </c>
      <c r="P64" s="29">
        <v>900.29</v>
      </c>
      <c r="R64" s="38" t="s">
        <v>90</v>
      </c>
      <c r="S64" s="29">
        <v>1590.57</v>
      </c>
      <c r="T64" s="39">
        <v>1650.14</v>
      </c>
      <c r="U64" s="39">
        <v>1638.71</v>
      </c>
      <c r="V64" s="39">
        <v>1621.71</v>
      </c>
      <c r="W64" s="39">
        <v>1349.57</v>
      </c>
      <c r="X64" s="39">
        <v>1161.29</v>
      </c>
    </row>
    <row r="65" spans="1:24" ht="15">
      <c r="A65">
        <v>64</v>
      </c>
      <c r="B65" t="s">
        <v>91</v>
      </c>
      <c r="C65" s="29">
        <f>VLOOKUP($B65,FY20_Ag_Vals!B:D,3,FALSE)</f>
        <v>2020.43</v>
      </c>
      <c r="D65" s="29">
        <f>VLOOKUP($B65,FY19_Ag_Vals!B:D,3,FALSE)</f>
        <v>2215.86</v>
      </c>
      <c r="J65">
        <v>923.43</v>
      </c>
      <c r="K65">
        <v>836.86</v>
      </c>
      <c r="L65" s="25">
        <v>742</v>
      </c>
      <c r="M65" s="27">
        <f t="shared" si="0"/>
        <v>-0.19647401535579301</v>
      </c>
      <c r="N65" s="27">
        <f t="shared" si="1"/>
        <v>-0.11335229309561934</v>
      </c>
      <c r="O65" s="26">
        <v>657.98</v>
      </c>
      <c r="P65" s="29">
        <v>1415.43</v>
      </c>
      <c r="R65" s="38" t="s">
        <v>91</v>
      </c>
      <c r="S65" s="29">
        <v>2418.5700000000002</v>
      </c>
      <c r="T65" s="39">
        <v>2437.4299999999998</v>
      </c>
      <c r="U65" s="39">
        <v>2485.4299999999998</v>
      </c>
      <c r="V65" s="39">
        <v>2446</v>
      </c>
      <c r="W65" s="39">
        <v>2144</v>
      </c>
      <c r="X65" s="39">
        <v>1799.43</v>
      </c>
    </row>
    <row r="66" spans="1:24" ht="15">
      <c r="A66">
        <v>65</v>
      </c>
      <c r="B66" t="s">
        <v>92</v>
      </c>
      <c r="C66" s="29">
        <f>VLOOKUP($B66,FY20_Ag_Vals!B:D,3,FALSE)</f>
        <v>1887.57</v>
      </c>
      <c r="D66" s="29">
        <f>VLOOKUP($B66,FY19_Ag_Vals!B:D,3,FALSE)</f>
        <v>2217.71</v>
      </c>
      <c r="J66">
        <v>630.29</v>
      </c>
      <c r="K66">
        <v>581.42999999999995</v>
      </c>
      <c r="L66" s="25">
        <v>495.14</v>
      </c>
      <c r="M66" s="27">
        <f t="shared" si="0"/>
        <v>-0.21442510590363162</v>
      </c>
      <c r="N66" s="27">
        <f t="shared" si="1"/>
        <v>-0.14840995476669583</v>
      </c>
      <c r="O66" s="26">
        <v>543.11</v>
      </c>
      <c r="P66" s="29">
        <v>1192</v>
      </c>
      <c r="R66" s="38" t="s">
        <v>92</v>
      </c>
      <c r="S66" s="29">
        <v>2500.5700000000002</v>
      </c>
      <c r="T66" s="39">
        <v>2645.57</v>
      </c>
      <c r="U66" s="39">
        <v>2587.5700000000002</v>
      </c>
      <c r="V66" s="39">
        <v>2534.86</v>
      </c>
      <c r="W66" s="39">
        <v>2104</v>
      </c>
      <c r="X66" s="39">
        <v>1660.43</v>
      </c>
    </row>
    <row r="67" spans="1:24" ht="15">
      <c r="A67">
        <v>66</v>
      </c>
      <c r="B67" t="s">
        <v>93</v>
      </c>
      <c r="C67" s="29">
        <f>VLOOKUP($B67,FY20_Ag_Vals!B:D,3,FALSE)</f>
        <v>1659.29</v>
      </c>
      <c r="D67" s="29">
        <f>VLOOKUP($B67,FY19_Ag_Vals!B:D,3,FALSE)</f>
        <v>1985.71</v>
      </c>
      <c r="J67">
        <v>961.29</v>
      </c>
      <c r="K67">
        <v>862.43</v>
      </c>
      <c r="L67" s="25">
        <v>737.14</v>
      </c>
      <c r="M67" s="27">
        <f t="shared" ref="M67:M100" si="2">L67/J67-1</f>
        <v>-0.23317625274370901</v>
      </c>
      <c r="N67" s="27">
        <f t="shared" ref="N67:N100" si="3">L67/K67-1</f>
        <v>-0.14527555859605989</v>
      </c>
      <c r="O67" s="26">
        <v>872.79</v>
      </c>
      <c r="P67" s="29">
        <v>1286.8599999999999</v>
      </c>
      <c r="R67" s="38" t="s">
        <v>93</v>
      </c>
      <c r="S67" s="29">
        <v>2172</v>
      </c>
      <c r="T67" s="39">
        <v>2234</v>
      </c>
      <c r="U67" s="39">
        <v>2418.86</v>
      </c>
      <c r="V67" s="39">
        <v>2422</v>
      </c>
      <c r="W67" s="39">
        <v>1997.43</v>
      </c>
      <c r="X67" s="39">
        <v>1621.86</v>
      </c>
    </row>
    <row r="68" spans="1:24" ht="15">
      <c r="A68">
        <v>67</v>
      </c>
      <c r="B68" t="s">
        <v>94</v>
      </c>
      <c r="C68" s="29">
        <f>VLOOKUP($B68,FY20_Ag_Vals!B:D,3,FALSE)</f>
        <v>1725.29</v>
      </c>
      <c r="D68" s="29">
        <f>VLOOKUP($B68,FY19_Ag_Vals!B:D,3,FALSE)</f>
        <v>1950.43</v>
      </c>
      <c r="J68">
        <v>606.86</v>
      </c>
      <c r="K68">
        <v>566.57000000000005</v>
      </c>
      <c r="L68" s="25">
        <v>490.14</v>
      </c>
      <c r="M68" s="27">
        <f t="shared" si="2"/>
        <v>-0.19233431104373333</v>
      </c>
      <c r="N68" s="27">
        <f t="shared" si="3"/>
        <v>-0.13489948285295739</v>
      </c>
      <c r="O68" s="26">
        <v>566.92999999999995</v>
      </c>
      <c r="P68" s="29">
        <v>991.14</v>
      </c>
      <c r="R68" s="38" t="s">
        <v>94</v>
      </c>
      <c r="S68" s="29">
        <v>2091.71</v>
      </c>
      <c r="T68" s="39">
        <v>2246</v>
      </c>
      <c r="U68" s="39">
        <v>2190.86</v>
      </c>
      <c r="V68" s="39">
        <v>2162.71</v>
      </c>
      <c r="W68" s="39">
        <v>1719.86</v>
      </c>
      <c r="X68" s="39">
        <v>1347.43</v>
      </c>
    </row>
    <row r="69" spans="1:24" ht="15">
      <c r="A69">
        <v>68</v>
      </c>
      <c r="B69" t="s">
        <v>95</v>
      </c>
      <c r="C69" s="29">
        <f>VLOOKUP($B69,FY20_Ag_Vals!B:D,3,FALSE)</f>
        <v>658.29</v>
      </c>
      <c r="D69" s="29">
        <f>VLOOKUP($B69,FY19_Ag_Vals!B:D,3,FALSE)</f>
        <v>694.14</v>
      </c>
      <c r="J69">
        <v>381.57</v>
      </c>
      <c r="K69">
        <v>380.29</v>
      </c>
      <c r="L69" s="25">
        <v>332.57</v>
      </c>
      <c r="M69" s="27">
        <f t="shared" si="2"/>
        <v>-0.1284168042560998</v>
      </c>
      <c r="N69" s="27">
        <f t="shared" si="3"/>
        <v>-0.12548318388598179</v>
      </c>
      <c r="O69" s="26">
        <v>344.54</v>
      </c>
      <c r="P69" s="29">
        <v>400.86</v>
      </c>
      <c r="R69" s="38" t="s">
        <v>95</v>
      </c>
      <c r="S69" s="29">
        <v>702.86</v>
      </c>
      <c r="T69" s="39">
        <v>686.29</v>
      </c>
      <c r="U69" s="39">
        <v>688.43</v>
      </c>
      <c r="V69" s="39">
        <v>720.29</v>
      </c>
      <c r="W69" s="39">
        <v>577.86</v>
      </c>
      <c r="X69" s="39">
        <v>531.29</v>
      </c>
    </row>
    <row r="70" spans="1:24" ht="15">
      <c r="A70">
        <v>69</v>
      </c>
      <c r="B70" t="s">
        <v>96</v>
      </c>
      <c r="C70" s="29">
        <f>VLOOKUP($B70,FY20_Ag_Vals!B:D,3,FALSE)</f>
        <v>1475.71</v>
      </c>
      <c r="D70" s="29">
        <f>VLOOKUP($B70,FY19_Ag_Vals!B:D,3,FALSE)</f>
        <v>1759.29</v>
      </c>
      <c r="J70">
        <v>593.86</v>
      </c>
      <c r="K70">
        <v>590.57000000000005</v>
      </c>
      <c r="L70" s="25">
        <v>518.57000000000005</v>
      </c>
      <c r="M70" s="27">
        <f t="shared" si="2"/>
        <v>-0.12678072272926277</v>
      </c>
      <c r="N70" s="27">
        <f t="shared" si="3"/>
        <v>-0.12191611493980392</v>
      </c>
      <c r="O70" s="26">
        <v>718.24</v>
      </c>
      <c r="P70" s="29">
        <v>1129.43</v>
      </c>
      <c r="R70" s="38" t="s">
        <v>96</v>
      </c>
      <c r="S70" s="29">
        <v>1959.71</v>
      </c>
      <c r="T70" s="39">
        <v>2184.71</v>
      </c>
      <c r="U70" s="39">
        <v>2209.4299999999998</v>
      </c>
      <c r="V70" s="39">
        <v>2127.5700000000002</v>
      </c>
      <c r="W70" s="39">
        <v>1803.71</v>
      </c>
      <c r="X70" s="39">
        <v>1470</v>
      </c>
    </row>
    <row r="71" spans="1:24" ht="15">
      <c r="A71">
        <v>70</v>
      </c>
      <c r="B71" t="s">
        <v>97</v>
      </c>
      <c r="C71" s="29">
        <f>VLOOKUP($B71,FY20_Ag_Vals!B:D,3,FALSE)</f>
        <v>1808.57</v>
      </c>
      <c r="D71" s="29">
        <f>VLOOKUP($B71,FY19_Ag_Vals!B:D,3,FALSE)</f>
        <v>2032.86</v>
      </c>
      <c r="J71">
        <v>820.29</v>
      </c>
      <c r="K71">
        <v>759</v>
      </c>
      <c r="L71" s="25">
        <v>696.29</v>
      </c>
      <c r="M71" s="27">
        <f t="shared" si="2"/>
        <v>-0.151166051030733</v>
      </c>
      <c r="N71" s="27">
        <f t="shared" si="3"/>
        <v>-8.2621870882740533E-2</v>
      </c>
      <c r="O71" s="26">
        <v>790.12</v>
      </c>
      <c r="P71" s="29">
        <v>1230.71</v>
      </c>
      <c r="R71" s="38" t="s">
        <v>97</v>
      </c>
      <c r="S71" s="29">
        <v>2193</v>
      </c>
      <c r="T71" s="39">
        <v>2210.14</v>
      </c>
      <c r="U71" s="39">
        <v>2231.71</v>
      </c>
      <c r="V71" s="39">
        <v>2097.29</v>
      </c>
      <c r="W71" s="39">
        <v>1772.14</v>
      </c>
      <c r="X71" s="39">
        <v>1453.29</v>
      </c>
    </row>
    <row r="72" spans="1:24" ht="15">
      <c r="A72">
        <v>71</v>
      </c>
      <c r="B72" t="s">
        <v>98</v>
      </c>
      <c r="C72" s="29">
        <f>VLOOKUP($B72,FY20_Ag_Vals!B:D,3,FALSE)</f>
        <v>2282.86</v>
      </c>
      <c r="D72" s="29">
        <f>VLOOKUP($B72,FY19_Ag_Vals!B:D,3,FALSE)</f>
        <v>2606.29</v>
      </c>
      <c r="J72">
        <v>1033.57</v>
      </c>
      <c r="K72">
        <v>917.29</v>
      </c>
      <c r="L72" s="25">
        <v>808.71</v>
      </c>
      <c r="M72" s="27">
        <f t="shared" si="2"/>
        <v>-0.21755662412802224</v>
      </c>
      <c r="N72" s="27">
        <f t="shared" si="3"/>
        <v>-0.11837041720720809</v>
      </c>
      <c r="O72" s="26" t="e">
        <v>#N/A</v>
      </c>
      <c r="P72" s="29">
        <v>1409.14</v>
      </c>
      <c r="R72" s="38" t="s">
        <v>98</v>
      </c>
      <c r="S72" s="29">
        <v>2821.71</v>
      </c>
      <c r="T72" s="39">
        <v>2919.14</v>
      </c>
      <c r="U72" s="39">
        <v>2910.14</v>
      </c>
      <c r="V72" s="39">
        <v>2759.86</v>
      </c>
      <c r="W72" s="39">
        <v>2279.71</v>
      </c>
      <c r="X72" s="39">
        <v>1853.14</v>
      </c>
    </row>
    <row r="73" spans="1:24" ht="15">
      <c r="A73">
        <v>72</v>
      </c>
      <c r="B73" t="s">
        <v>99</v>
      </c>
      <c r="C73" s="29">
        <f>VLOOKUP($B73,FY20_Ag_Vals!B:D,3,FALSE)</f>
        <v>2102.5700000000002</v>
      </c>
      <c r="D73" s="29">
        <f>VLOOKUP($B73,FY19_Ag_Vals!B:D,3,FALSE)</f>
        <v>2456.71</v>
      </c>
      <c r="J73">
        <v>930.29</v>
      </c>
      <c r="K73">
        <v>837.57</v>
      </c>
      <c r="L73" s="25">
        <v>718</v>
      </c>
      <c r="M73" s="27">
        <f t="shared" si="2"/>
        <v>-0.22819765879456944</v>
      </c>
      <c r="N73" s="27">
        <f t="shared" si="3"/>
        <v>-0.14275821722363513</v>
      </c>
      <c r="O73" s="26">
        <v>872.79</v>
      </c>
      <c r="P73" s="29">
        <v>1409.71</v>
      </c>
      <c r="R73" s="38" t="s">
        <v>99</v>
      </c>
      <c r="S73" s="29">
        <v>2651.43</v>
      </c>
      <c r="T73" s="39">
        <v>2738.29</v>
      </c>
      <c r="U73" s="39">
        <v>2769</v>
      </c>
      <c r="V73" s="39">
        <v>2636.43</v>
      </c>
      <c r="W73" s="39">
        <v>2193.4299999999998</v>
      </c>
      <c r="X73" s="39">
        <v>1799.29</v>
      </c>
    </row>
    <row r="74" spans="1:24" ht="15">
      <c r="A74">
        <v>73</v>
      </c>
      <c r="B74" t="s">
        <v>100</v>
      </c>
      <c r="C74" s="29">
        <f>VLOOKUP($B74,FY20_Ag_Vals!B:D,3,FALSE)</f>
        <v>1527.14</v>
      </c>
      <c r="D74" s="29">
        <f>VLOOKUP($B74,FY19_Ag_Vals!B:D,3,FALSE)</f>
        <v>1713.29</v>
      </c>
      <c r="J74">
        <v>603</v>
      </c>
      <c r="K74">
        <v>594.14</v>
      </c>
      <c r="L74" s="25">
        <v>519.29</v>
      </c>
      <c r="M74" s="27">
        <f t="shared" si="2"/>
        <v>-0.13882255389718079</v>
      </c>
      <c r="N74" s="27">
        <f t="shared" si="3"/>
        <v>-0.12598040865789217</v>
      </c>
      <c r="O74" s="26">
        <v>597.99</v>
      </c>
      <c r="P74" s="29">
        <v>940</v>
      </c>
      <c r="R74" s="38" t="s">
        <v>100</v>
      </c>
      <c r="S74" s="29">
        <v>1950.14</v>
      </c>
      <c r="T74" s="39">
        <v>2021.71</v>
      </c>
      <c r="U74" s="39">
        <v>1968.14</v>
      </c>
      <c r="V74" s="39">
        <v>1895.43</v>
      </c>
      <c r="W74" s="39">
        <v>1593</v>
      </c>
      <c r="X74" s="39">
        <v>1295.43</v>
      </c>
    </row>
    <row r="75" spans="1:24" ht="15">
      <c r="A75">
        <v>74</v>
      </c>
      <c r="B75" t="s">
        <v>101</v>
      </c>
      <c r="C75" s="29">
        <f>VLOOKUP($B75,FY20_Ag_Vals!B:D,3,FALSE)</f>
        <v>1801.29</v>
      </c>
      <c r="D75" s="29">
        <f>VLOOKUP($B75,FY19_Ag_Vals!B:D,3,FALSE)</f>
        <v>2126.5700000000002</v>
      </c>
      <c r="J75">
        <v>872.29</v>
      </c>
      <c r="K75">
        <v>803.71</v>
      </c>
      <c r="L75" s="25">
        <v>688.57</v>
      </c>
      <c r="M75" s="27">
        <f t="shared" si="2"/>
        <v>-0.21061802840798349</v>
      </c>
      <c r="N75" s="27">
        <f t="shared" si="3"/>
        <v>-0.14326062883378332</v>
      </c>
      <c r="O75" s="26">
        <v>795.5</v>
      </c>
      <c r="P75" s="29">
        <v>1383.14</v>
      </c>
      <c r="R75" s="38" t="s">
        <v>101</v>
      </c>
      <c r="S75" s="29">
        <v>2317.14</v>
      </c>
      <c r="T75" s="39">
        <v>2475.4299999999998</v>
      </c>
      <c r="U75" s="39">
        <v>2597.86</v>
      </c>
      <c r="V75" s="39">
        <v>2412.86</v>
      </c>
      <c r="W75" s="39">
        <v>2019</v>
      </c>
      <c r="X75" s="39">
        <v>1688.43</v>
      </c>
    </row>
    <row r="76" spans="1:24" ht="15">
      <c r="A76">
        <v>75</v>
      </c>
      <c r="B76" t="s">
        <v>102</v>
      </c>
      <c r="C76" s="29">
        <f>VLOOKUP($B76,FY20_Ag_Vals!B:D,3,FALSE)</f>
        <v>1840.43</v>
      </c>
      <c r="D76" s="29">
        <f>VLOOKUP($B76,FY19_Ag_Vals!B:D,3,FALSE)</f>
        <v>2112.4299999999998</v>
      </c>
      <c r="J76">
        <v>871</v>
      </c>
      <c r="K76">
        <v>743.57</v>
      </c>
      <c r="L76" s="25">
        <v>639.86</v>
      </c>
      <c r="M76" s="27">
        <f t="shared" si="2"/>
        <v>-0.26537313432835818</v>
      </c>
      <c r="N76" s="27">
        <f t="shared" si="3"/>
        <v>-0.13947577228774699</v>
      </c>
      <c r="O76" s="26">
        <v>810.38</v>
      </c>
      <c r="P76" s="29">
        <v>1215.29</v>
      </c>
      <c r="R76" s="38" t="s">
        <v>102</v>
      </c>
      <c r="S76" s="29">
        <v>2337.29</v>
      </c>
      <c r="T76" s="39">
        <v>2449.86</v>
      </c>
      <c r="U76" s="39">
        <v>2485.4299999999998</v>
      </c>
      <c r="V76" s="39">
        <v>2455.86</v>
      </c>
      <c r="W76" s="39">
        <v>2000.71</v>
      </c>
      <c r="X76" s="39">
        <v>1609.57</v>
      </c>
    </row>
    <row r="77" spans="1:24" ht="15">
      <c r="A77">
        <v>76</v>
      </c>
      <c r="B77" t="s">
        <v>103</v>
      </c>
      <c r="C77" s="29">
        <f>VLOOKUP($B77,FY20_Ag_Vals!B:D,3,FALSE)</f>
        <v>1959.71</v>
      </c>
      <c r="D77" s="29">
        <f>VLOOKUP($B77,FY19_Ag_Vals!B:D,3,FALSE)</f>
        <v>2279.29</v>
      </c>
      <c r="J77">
        <v>1010.71</v>
      </c>
      <c r="K77">
        <v>879.86</v>
      </c>
      <c r="L77" s="25">
        <v>729.57</v>
      </c>
      <c r="M77" s="27">
        <f t="shared" si="2"/>
        <v>-0.27816089679532208</v>
      </c>
      <c r="N77" s="27">
        <f t="shared" si="3"/>
        <v>-0.17081126542859082</v>
      </c>
      <c r="O77" s="26">
        <v>937.42</v>
      </c>
      <c r="P77" s="29">
        <v>1427.71</v>
      </c>
      <c r="R77" s="38" t="s">
        <v>103</v>
      </c>
      <c r="S77" s="29">
        <v>2427.29</v>
      </c>
      <c r="T77" s="39">
        <v>2554.29</v>
      </c>
      <c r="U77" s="39">
        <v>2689</v>
      </c>
      <c r="V77" s="39">
        <v>2540.14</v>
      </c>
      <c r="W77" s="39">
        <v>2140.4299999999998</v>
      </c>
      <c r="X77" s="39">
        <v>1789.86</v>
      </c>
    </row>
    <row r="78" spans="1:24" ht="15">
      <c r="A78">
        <v>77</v>
      </c>
      <c r="B78" t="s">
        <v>104</v>
      </c>
      <c r="C78" s="29">
        <f>VLOOKUP($B78,FY20_Ag_Vals!B:D,3,FALSE)</f>
        <v>1388.43</v>
      </c>
      <c r="D78" s="29">
        <f>VLOOKUP($B78,FY19_Ag_Vals!B:D,3,FALSE)</f>
        <v>1535.29</v>
      </c>
      <c r="J78">
        <v>824.86</v>
      </c>
      <c r="K78">
        <v>701</v>
      </c>
      <c r="L78" s="25">
        <v>566.57000000000005</v>
      </c>
      <c r="M78" s="27">
        <f t="shared" si="2"/>
        <v>-0.31313192541764656</v>
      </c>
      <c r="N78" s="27">
        <f t="shared" si="3"/>
        <v>-0.1917689015691868</v>
      </c>
      <c r="O78" s="26">
        <v>735.38</v>
      </c>
      <c r="P78" s="29">
        <v>1171.8599999999999</v>
      </c>
      <c r="R78" s="38" t="s">
        <v>104</v>
      </c>
      <c r="S78" s="29">
        <v>1596.71</v>
      </c>
      <c r="T78" s="39">
        <v>1634.57</v>
      </c>
      <c r="U78" s="39">
        <v>1637.43</v>
      </c>
      <c r="V78" s="39">
        <v>1633</v>
      </c>
      <c r="W78" s="39">
        <v>1472.57</v>
      </c>
      <c r="X78" s="39">
        <v>1331.57</v>
      </c>
    </row>
    <row r="79" spans="1:24" ht="15">
      <c r="A79">
        <v>78</v>
      </c>
      <c r="B79" t="s">
        <v>105</v>
      </c>
      <c r="C79" s="29">
        <f>VLOOKUP($B79,FY20_Ag_Vals!B:D,3,FALSE)</f>
        <v>1734.71</v>
      </c>
      <c r="D79" s="29">
        <f>VLOOKUP($B79,FY19_Ag_Vals!B:D,3,FALSE)</f>
        <v>2131.71</v>
      </c>
      <c r="J79">
        <v>721.14</v>
      </c>
      <c r="K79">
        <v>662.14</v>
      </c>
      <c r="L79" s="25">
        <v>595.86</v>
      </c>
      <c r="M79" s="27">
        <f t="shared" si="2"/>
        <v>-0.17372493551876189</v>
      </c>
      <c r="N79" s="27">
        <f t="shared" si="3"/>
        <v>-0.10009967680550935</v>
      </c>
      <c r="O79" s="26">
        <v>648.09</v>
      </c>
      <c r="P79" s="29">
        <v>1312.14</v>
      </c>
      <c r="R79" s="38" t="s">
        <v>105</v>
      </c>
      <c r="S79" s="29">
        <v>2334.86</v>
      </c>
      <c r="T79" s="39">
        <v>2549.86</v>
      </c>
      <c r="U79" s="39">
        <v>2582.86</v>
      </c>
      <c r="V79" s="39">
        <v>2546.14</v>
      </c>
      <c r="W79" s="39">
        <v>2115.14</v>
      </c>
      <c r="X79" s="39">
        <v>1722.29</v>
      </c>
    </row>
    <row r="80" spans="1:24" ht="15">
      <c r="A80">
        <v>79</v>
      </c>
      <c r="B80" t="s">
        <v>106</v>
      </c>
      <c r="C80" s="29">
        <f>VLOOKUP($B80,FY20_Ag_Vals!B:D,3,FALSE)</f>
        <v>1733.86</v>
      </c>
      <c r="D80" s="29">
        <f>VLOOKUP($B80,FY19_Ag_Vals!B:D,3,FALSE)</f>
        <v>2019.43</v>
      </c>
      <c r="J80">
        <v>809.86</v>
      </c>
      <c r="K80">
        <v>766.14</v>
      </c>
      <c r="L80" s="25">
        <v>725.14</v>
      </c>
      <c r="M80" s="27">
        <f t="shared" si="2"/>
        <v>-0.10461067344973207</v>
      </c>
      <c r="N80" s="27">
        <f t="shared" si="3"/>
        <v>-5.3515023363876035E-2</v>
      </c>
      <c r="O80" s="26">
        <v>741.03</v>
      </c>
      <c r="P80" s="29">
        <v>1282.29</v>
      </c>
      <c r="R80" s="38" t="s">
        <v>106</v>
      </c>
      <c r="S80" s="29">
        <v>2180.29</v>
      </c>
      <c r="T80" s="39">
        <v>2298.29</v>
      </c>
      <c r="U80" s="39">
        <v>2403.29</v>
      </c>
      <c r="V80" s="39">
        <v>2356.29</v>
      </c>
      <c r="W80" s="39">
        <v>1997.71</v>
      </c>
      <c r="X80" s="39">
        <v>1687.43</v>
      </c>
    </row>
    <row r="81" spans="1:24" ht="15">
      <c r="A81">
        <v>80</v>
      </c>
      <c r="B81" t="s">
        <v>107</v>
      </c>
      <c r="C81" s="29">
        <f>VLOOKUP($B81,FY20_Ag_Vals!B:D,3,FALSE)</f>
        <v>851.29</v>
      </c>
      <c r="D81" s="29">
        <f>VLOOKUP($B81,FY19_Ag_Vals!B:D,3,FALSE)</f>
        <v>925.43</v>
      </c>
      <c r="J81">
        <v>358.86</v>
      </c>
      <c r="K81">
        <v>372.57</v>
      </c>
      <c r="L81" s="25">
        <v>341</v>
      </c>
      <c r="M81" s="27">
        <f t="shared" si="2"/>
        <v>-4.9768712032547513E-2</v>
      </c>
      <c r="N81" s="27">
        <f t="shared" si="3"/>
        <v>-8.4735754354886339E-2</v>
      </c>
      <c r="O81" s="26">
        <v>403.77</v>
      </c>
      <c r="P81" s="29">
        <v>516.57000000000005</v>
      </c>
      <c r="R81" s="38" t="s">
        <v>107</v>
      </c>
      <c r="S81" s="29">
        <v>996.43</v>
      </c>
      <c r="T81" s="39">
        <v>936.14</v>
      </c>
      <c r="U81" s="39">
        <v>875.57</v>
      </c>
      <c r="V81" s="39">
        <v>873</v>
      </c>
      <c r="W81" s="39">
        <v>712.14</v>
      </c>
      <c r="X81" s="39">
        <v>618.86</v>
      </c>
    </row>
    <row r="82" spans="1:24" ht="15">
      <c r="A82">
        <v>81</v>
      </c>
      <c r="B82" t="s">
        <v>108</v>
      </c>
      <c r="C82" s="29">
        <f>VLOOKUP($B82,FY20_Ag_Vals!B:D,3,FALSE)</f>
        <v>1751.43</v>
      </c>
      <c r="D82" s="29">
        <f>VLOOKUP($B82,FY19_Ag_Vals!B:D,3,FALSE)</f>
        <v>2074.5700000000002</v>
      </c>
      <c r="J82">
        <v>896.14</v>
      </c>
      <c r="K82">
        <v>741.29</v>
      </c>
      <c r="L82" s="25">
        <v>638.86</v>
      </c>
      <c r="M82" s="27">
        <f t="shared" si="2"/>
        <v>-0.28709799808065706</v>
      </c>
      <c r="N82" s="27">
        <f t="shared" si="3"/>
        <v>-0.13817804098261133</v>
      </c>
      <c r="O82" s="26">
        <v>889.79</v>
      </c>
      <c r="P82" s="29">
        <v>1323.71</v>
      </c>
      <c r="R82" s="38" t="s">
        <v>108</v>
      </c>
      <c r="S82" s="29">
        <v>2251.86</v>
      </c>
      <c r="T82" s="39">
        <v>2322.71</v>
      </c>
      <c r="U82" s="39">
        <v>2504.4299999999998</v>
      </c>
      <c r="V82" s="39">
        <v>2484</v>
      </c>
      <c r="W82" s="39">
        <v>1992</v>
      </c>
      <c r="X82" s="39">
        <v>1652.86</v>
      </c>
    </row>
    <row r="83" spans="1:24" ht="15">
      <c r="A83">
        <v>82</v>
      </c>
      <c r="B83" t="s">
        <v>109</v>
      </c>
      <c r="C83" s="29">
        <f>VLOOKUP($B83,FY20_Ag_Vals!B:D,3,FALSE)</f>
        <v>1994.86</v>
      </c>
      <c r="D83" s="29">
        <f>VLOOKUP($B83,FY19_Ag_Vals!B:D,3,FALSE)</f>
        <v>2234.5700000000002</v>
      </c>
      <c r="J83">
        <v>1109.71</v>
      </c>
      <c r="K83">
        <v>1011.29</v>
      </c>
      <c r="L83" s="25">
        <v>926.14</v>
      </c>
      <c r="M83" s="27">
        <f t="shared" si="2"/>
        <v>-0.16542159663335465</v>
      </c>
      <c r="N83" s="27">
        <f t="shared" si="3"/>
        <v>-8.4199388899326544E-2</v>
      </c>
      <c r="O83" s="26">
        <v>991.79</v>
      </c>
      <c r="P83" s="29">
        <v>1382.43</v>
      </c>
      <c r="R83" s="38" t="s">
        <v>109</v>
      </c>
      <c r="S83" s="29">
        <v>2341.71</v>
      </c>
      <c r="T83" s="39">
        <v>2336.5700000000002</v>
      </c>
      <c r="U83" s="39">
        <v>2346.71</v>
      </c>
      <c r="V83" s="39">
        <v>2256.29</v>
      </c>
      <c r="W83" s="39">
        <v>1936.86</v>
      </c>
      <c r="X83" s="39">
        <v>1607.71</v>
      </c>
    </row>
    <row r="84" spans="1:24" ht="15">
      <c r="A84">
        <v>83</v>
      </c>
      <c r="B84" t="s">
        <v>110</v>
      </c>
      <c r="C84" s="29">
        <f>VLOOKUP($B84,FY20_Ag_Vals!B:D,3,FALSE)</f>
        <v>1948.43</v>
      </c>
      <c r="D84" s="29">
        <f>VLOOKUP($B84,FY19_Ag_Vals!B:D,3,FALSE)</f>
        <v>2242.14</v>
      </c>
      <c r="J84">
        <v>780.71</v>
      </c>
      <c r="K84">
        <v>678.43</v>
      </c>
      <c r="L84" s="25">
        <v>591.14</v>
      </c>
      <c r="M84" s="27">
        <f t="shared" si="2"/>
        <v>-0.24281743541135636</v>
      </c>
      <c r="N84" s="27">
        <f t="shared" si="3"/>
        <v>-0.1286647111713809</v>
      </c>
      <c r="O84" s="26">
        <v>654.37</v>
      </c>
      <c r="P84" s="29">
        <v>1300.43</v>
      </c>
      <c r="R84" s="38" t="s">
        <v>110</v>
      </c>
      <c r="S84" s="29">
        <v>2441.71</v>
      </c>
      <c r="T84" s="39">
        <v>2545</v>
      </c>
      <c r="U84" s="39">
        <v>2594.71</v>
      </c>
      <c r="V84" s="39">
        <v>2544.29</v>
      </c>
      <c r="W84" s="39">
        <v>2129.86</v>
      </c>
      <c r="X84" s="39">
        <v>1753.86</v>
      </c>
    </row>
    <row r="85" spans="1:24" ht="15">
      <c r="A85">
        <v>84</v>
      </c>
      <c r="B85" t="s">
        <v>111</v>
      </c>
      <c r="C85" s="29">
        <f>VLOOKUP($B85,FY20_Ag_Vals!B:D,3,FALSE)</f>
        <v>2171.5700000000002</v>
      </c>
      <c r="D85" s="29">
        <f>VLOOKUP($B85,FY19_Ag_Vals!B:D,3,FALSE)</f>
        <v>2548.29</v>
      </c>
      <c r="J85">
        <v>1065.43</v>
      </c>
      <c r="K85">
        <v>942.29</v>
      </c>
      <c r="L85" s="25">
        <v>834</v>
      </c>
      <c r="M85" s="27">
        <f t="shared" si="2"/>
        <v>-0.21721746149442012</v>
      </c>
      <c r="N85" s="27">
        <f t="shared" si="3"/>
        <v>-0.11492215772214498</v>
      </c>
      <c r="O85" s="26">
        <v>893.5</v>
      </c>
      <c r="P85" s="29">
        <v>1402.29</v>
      </c>
      <c r="R85" s="38" t="s">
        <v>111</v>
      </c>
      <c r="S85" s="29">
        <v>2765.57</v>
      </c>
      <c r="T85" s="39">
        <v>2852.57</v>
      </c>
      <c r="U85" s="39">
        <v>2867.14</v>
      </c>
      <c r="V85" s="39">
        <v>2724.14</v>
      </c>
      <c r="W85" s="39">
        <v>2242.71</v>
      </c>
      <c r="X85" s="39">
        <v>1805.57</v>
      </c>
    </row>
    <row r="86" spans="1:24" ht="15">
      <c r="A86">
        <v>85</v>
      </c>
      <c r="B86" t="s">
        <v>112</v>
      </c>
      <c r="C86" s="29">
        <f>VLOOKUP($B86,FY20_Ag_Vals!B:D,3,FALSE)</f>
        <v>1730.14</v>
      </c>
      <c r="D86" s="29">
        <f>VLOOKUP($B86,FY19_Ag_Vals!B:D,3,FALSE)</f>
        <v>1908.86</v>
      </c>
      <c r="J86">
        <v>986.57</v>
      </c>
      <c r="K86">
        <v>853.57</v>
      </c>
      <c r="L86" s="25">
        <v>720.71</v>
      </c>
      <c r="M86" s="27">
        <f t="shared" si="2"/>
        <v>-0.26947910437171207</v>
      </c>
      <c r="N86" s="27">
        <f t="shared" si="3"/>
        <v>-0.15565214335086752</v>
      </c>
      <c r="O86" s="26">
        <v>833.39</v>
      </c>
      <c r="P86" s="29">
        <v>1351</v>
      </c>
      <c r="R86" s="38" t="s">
        <v>112</v>
      </c>
      <c r="S86" s="29">
        <v>2064.5700000000002</v>
      </c>
      <c r="T86" s="39">
        <v>2169.71</v>
      </c>
      <c r="U86" s="39">
        <v>2266.5700000000002</v>
      </c>
      <c r="V86" s="39">
        <v>2250.86</v>
      </c>
      <c r="W86" s="39">
        <v>1988.57</v>
      </c>
      <c r="X86" s="39">
        <v>1691.86</v>
      </c>
    </row>
    <row r="87" spans="1:24" ht="15">
      <c r="A87">
        <v>86</v>
      </c>
      <c r="B87" t="s">
        <v>113</v>
      </c>
      <c r="C87" s="29">
        <f>VLOOKUP($B87,FY20_Ag_Vals!B:D,3,FALSE)</f>
        <v>1771.86</v>
      </c>
      <c r="D87" s="29">
        <f>VLOOKUP($B87,FY19_Ag_Vals!B:D,3,FALSE)</f>
        <v>1945.71</v>
      </c>
      <c r="J87">
        <v>883.14</v>
      </c>
      <c r="K87">
        <v>819.71</v>
      </c>
      <c r="L87" s="25">
        <v>766</v>
      </c>
      <c r="M87" s="27">
        <f t="shared" si="2"/>
        <v>-0.13264035147315256</v>
      </c>
      <c r="N87" s="27">
        <f t="shared" si="3"/>
        <v>-6.5523172829415333E-2</v>
      </c>
      <c r="O87" s="26">
        <v>768.61</v>
      </c>
      <c r="P87" s="29">
        <v>1279.43</v>
      </c>
      <c r="R87" s="38" t="s">
        <v>113</v>
      </c>
      <c r="S87" s="29">
        <v>2095.14</v>
      </c>
      <c r="T87" s="39">
        <v>2148.5700000000002</v>
      </c>
      <c r="U87" s="39">
        <v>2191.14</v>
      </c>
      <c r="V87" s="39">
        <v>2095</v>
      </c>
      <c r="W87" s="39">
        <v>1826.86</v>
      </c>
      <c r="X87" s="39">
        <v>1560.86</v>
      </c>
    </row>
    <row r="88" spans="1:24" ht="15">
      <c r="A88">
        <v>87</v>
      </c>
      <c r="B88" t="s">
        <v>114</v>
      </c>
      <c r="C88" s="29">
        <f>VLOOKUP($B88,FY20_Ag_Vals!B:D,3,FALSE)</f>
        <v>1118.57</v>
      </c>
      <c r="D88" s="29">
        <f>VLOOKUP($B88,FY19_Ag_Vals!B:D,3,FALSE)</f>
        <v>1281.29</v>
      </c>
      <c r="J88">
        <v>396.14</v>
      </c>
      <c r="K88">
        <v>425.43</v>
      </c>
      <c r="L88" s="25">
        <v>402.71</v>
      </c>
      <c r="M88" s="27">
        <f t="shared" si="2"/>
        <v>1.6585045690917344E-2</v>
      </c>
      <c r="N88" s="27">
        <f t="shared" si="3"/>
        <v>-5.3404790447312167E-2</v>
      </c>
      <c r="O88" s="26">
        <v>439.95</v>
      </c>
      <c r="P88" s="29">
        <v>732.86</v>
      </c>
      <c r="R88" s="38" t="s">
        <v>114</v>
      </c>
      <c r="S88" s="29">
        <v>1415.86</v>
      </c>
      <c r="T88" s="39">
        <v>1364</v>
      </c>
      <c r="U88" s="39">
        <v>1326</v>
      </c>
      <c r="V88" s="39">
        <v>1270.71</v>
      </c>
      <c r="W88" s="39">
        <v>1046.43</v>
      </c>
      <c r="X88" s="39">
        <v>895.57</v>
      </c>
    </row>
    <row r="89" spans="1:24" ht="15">
      <c r="A89">
        <v>88</v>
      </c>
      <c r="B89" t="s">
        <v>115</v>
      </c>
      <c r="C89" s="29">
        <f>VLOOKUP($B89,FY20_Ag_Vals!B:D,3,FALSE)</f>
        <v>882.43</v>
      </c>
      <c r="D89" s="29">
        <f>VLOOKUP($B89,FY19_Ag_Vals!B:D,3,FALSE)</f>
        <v>1039.29</v>
      </c>
      <c r="J89">
        <v>418.43</v>
      </c>
      <c r="K89">
        <v>429</v>
      </c>
      <c r="L89" s="25">
        <v>399.57</v>
      </c>
      <c r="M89" s="27">
        <f t="shared" si="2"/>
        <v>-4.507325000597473E-2</v>
      </c>
      <c r="N89" s="27">
        <f t="shared" si="3"/>
        <v>-6.8601398601398578E-2</v>
      </c>
      <c r="O89" s="26">
        <v>417.85</v>
      </c>
      <c r="P89" s="29">
        <v>713.43</v>
      </c>
      <c r="R89" s="38" t="s">
        <v>115</v>
      </c>
      <c r="S89" s="29">
        <v>1134.29</v>
      </c>
      <c r="T89" s="39">
        <v>1170.8599999999999</v>
      </c>
      <c r="U89" s="39">
        <v>1199.57</v>
      </c>
      <c r="V89" s="39">
        <v>1241.8599999999999</v>
      </c>
      <c r="W89" s="39">
        <v>1043.1400000000001</v>
      </c>
      <c r="X89" s="39">
        <v>935.14</v>
      </c>
    </row>
    <row r="90" spans="1:24" ht="15">
      <c r="A90">
        <v>89</v>
      </c>
      <c r="B90" t="s">
        <v>116</v>
      </c>
      <c r="C90" s="29">
        <f>VLOOKUP($B90,FY20_Ag_Vals!B:D,3,FALSE)</f>
        <v>1046.71</v>
      </c>
      <c r="D90" s="29">
        <f>VLOOKUP($B90,FY19_Ag_Vals!B:D,3,FALSE)</f>
        <v>1072.8599999999999</v>
      </c>
      <c r="J90">
        <v>425.57</v>
      </c>
      <c r="K90">
        <v>429.29</v>
      </c>
      <c r="L90" s="25">
        <v>364.71</v>
      </c>
      <c r="M90" s="27">
        <f t="shared" si="2"/>
        <v>-0.14300820076603149</v>
      </c>
      <c r="N90" s="27">
        <f t="shared" si="3"/>
        <v>-0.15043443825851999</v>
      </c>
      <c r="O90" s="26">
        <v>337.95</v>
      </c>
      <c r="P90" s="29">
        <v>666.14</v>
      </c>
      <c r="R90" s="38" t="s">
        <v>116</v>
      </c>
      <c r="S90" s="29">
        <v>1110.71</v>
      </c>
      <c r="T90" s="39">
        <v>1052.57</v>
      </c>
      <c r="U90" s="39">
        <v>1015.43</v>
      </c>
      <c r="V90" s="39">
        <v>1008.14</v>
      </c>
      <c r="W90" s="39">
        <v>921.43</v>
      </c>
      <c r="X90" s="39">
        <v>800.86</v>
      </c>
    </row>
    <row r="91" spans="1:24" ht="15">
      <c r="A91">
        <v>90</v>
      </c>
      <c r="B91" t="s">
        <v>117</v>
      </c>
      <c r="C91" s="29">
        <f>VLOOKUP($B91,FY20_Ag_Vals!B:D,3,FALSE)</f>
        <v>1293.71</v>
      </c>
      <c r="D91" s="29">
        <f>VLOOKUP($B91,FY19_Ag_Vals!B:D,3,FALSE)</f>
        <v>1444.29</v>
      </c>
      <c r="J91">
        <v>519.71</v>
      </c>
      <c r="K91">
        <v>494.86</v>
      </c>
      <c r="L91" s="25">
        <v>434.71</v>
      </c>
      <c r="M91" s="27">
        <f t="shared" si="2"/>
        <v>-0.16355275057243468</v>
      </c>
      <c r="N91" s="27">
        <f t="shared" si="3"/>
        <v>-0.12154952915976247</v>
      </c>
      <c r="O91" s="26">
        <v>438.28</v>
      </c>
      <c r="P91" s="29">
        <v>912.86</v>
      </c>
      <c r="R91" s="38" t="s">
        <v>117</v>
      </c>
      <c r="S91" s="29">
        <v>1545.14</v>
      </c>
      <c r="T91" s="39">
        <v>1561.29</v>
      </c>
      <c r="U91" s="39">
        <v>1560</v>
      </c>
      <c r="V91" s="39">
        <v>1591.29</v>
      </c>
      <c r="W91" s="39">
        <v>1361.43</v>
      </c>
      <c r="X91" s="39">
        <v>1167.43</v>
      </c>
    </row>
    <row r="92" spans="1:24" ht="15">
      <c r="A92">
        <v>91</v>
      </c>
      <c r="B92" t="s">
        <v>118</v>
      </c>
      <c r="C92" s="29">
        <f>VLOOKUP($B92,FY20_Ag_Vals!B:D,3,FALSE)</f>
        <v>1110.29</v>
      </c>
      <c r="D92" s="29">
        <f>VLOOKUP($B92,FY19_Ag_Vals!B:D,3,FALSE)</f>
        <v>1243.57</v>
      </c>
      <c r="J92">
        <v>509.86</v>
      </c>
      <c r="K92">
        <v>491.29</v>
      </c>
      <c r="L92" s="25">
        <v>441.43</v>
      </c>
      <c r="M92" s="27">
        <f t="shared" si="2"/>
        <v>-0.13421331345859644</v>
      </c>
      <c r="N92" s="27">
        <f t="shared" si="3"/>
        <v>-0.10148791955871284</v>
      </c>
      <c r="O92" s="26">
        <v>433.32</v>
      </c>
      <c r="P92" s="29">
        <v>732.14</v>
      </c>
      <c r="R92" s="38" t="s">
        <v>118</v>
      </c>
      <c r="S92" s="29">
        <v>1289.43</v>
      </c>
      <c r="T92" s="39">
        <v>1322.57</v>
      </c>
      <c r="U92" s="39">
        <v>1297.71</v>
      </c>
      <c r="V92" s="39">
        <v>1309.29</v>
      </c>
      <c r="W92" s="39">
        <v>1126.71</v>
      </c>
      <c r="X92" s="39">
        <v>977.57</v>
      </c>
    </row>
    <row r="93" spans="1:24" ht="15">
      <c r="A93">
        <v>92</v>
      </c>
      <c r="B93" t="s">
        <v>119</v>
      </c>
      <c r="C93" s="29">
        <f>VLOOKUP($B93,FY20_Ag_Vals!B:D,3,FALSE)</f>
        <v>1564</v>
      </c>
      <c r="D93" s="29">
        <f>VLOOKUP($B93,FY19_Ag_Vals!B:D,3,FALSE)</f>
        <v>1853.14</v>
      </c>
      <c r="J93">
        <v>791.29</v>
      </c>
      <c r="K93">
        <v>739.43</v>
      </c>
      <c r="L93" s="25">
        <v>658.14</v>
      </c>
      <c r="M93" s="27">
        <f t="shared" si="2"/>
        <v>-0.16826953455749472</v>
      </c>
      <c r="N93" s="27">
        <f t="shared" si="3"/>
        <v>-0.10993603180828471</v>
      </c>
      <c r="O93" s="26">
        <v>638.04</v>
      </c>
      <c r="P93" s="29">
        <v>1142.1400000000001</v>
      </c>
      <c r="R93" s="38" t="s">
        <v>119</v>
      </c>
      <c r="S93" s="29">
        <v>1917.57</v>
      </c>
      <c r="T93" s="39">
        <v>1949.14</v>
      </c>
      <c r="U93" s="39">
        <v>2015.71</v>
      </c>
      <c r="V93" s="39">
        <v>1909.57</v>
      </c>
      <c r="W93" s="39">
        <v>1610.71</v>
      </c>
      <c r="X93" s="39">
        <v>1380</v>
      </c>
    </row>
    <row r="94" spans="1:24" ht="15">
      <c r="A94">
        <v>93</v>
      </c>
      <c r="B94" t="s">
        <v>120</v>
      </c>
      <c r="C94" s="29">
        <f>VLOOKUP($B94,FY20_Ag_Vals!B:D,3,FALSE)</f>
        <v>785.71</v>
      </c>
      <c r="D94" s="29">
        <f>VLOOKUP($B94,FY19_Ag_Vals!B:D,3,FALSE)</f>
        <v>848.71</v>
      </c>
      <c r="J94">
        <v>388.14</v>
      </c>
      <c r="K94">
        <v>402.29</v>
      </c>
      <c r="L94" s="25">
        <v>354.86</v>
      </c>
      <c r="M94" s="27">
        <f t="shared" si="2"/>
        <v>-8.5742257948162925E-2</v>
      </c>
      <c r="N94" s="27">
        <f t="shared" si="3"/>
        <v>-0.11790002237192077</v>
      </c>
      <c r="O94" s="26">
        <v>354.34</v>
      </c>
      <c r="P94" s="29">
        <v>552.71</v>
      </c>
      <c r="R94" s="38" t="s">
        <v>120</v>
      </c>
      <c r="S94" s="29">
        <v>865</v>
      </c>
      <c r="T94" s="39">
        <v>790.57</v>
      </c>
      <c r="U94" s="39">
        <v>743.43</v>
      </c>
      <c r="V94" s="39">
        <v>803.57</v>
      </c>
      <c r="W94" s="39">
        <v>672</v>
      </c>
      <c r="X94" s="39">
        <v>622.14</v>
      </c>
    </row>
    <row r="95" spans="1:24" ht="15">
      <c r="A95">
        <v>94</v>
      </c>
      <c r="B95" t="s">
        <v>121</v>
      </c>
      <c r="C95" s="29">
        <f>VLOOKUP($B95,FY20_Ag_Vals!B:D,3,FALSE)</f>
        <v>1735.57</v>
      </c>
      <c r="D95" s="29">
        <f>VLOOKUP($B95,FY19_Ag_Vals!B:D,3,FALSE)</f>
        <v>1987.14</v>
      </c>
      <c r="J95">
        <v>930</v>
      </c>
      <c r="K95">
        <v>782</v>
      </c>
      <c r="L95" s="25">
        <v>643.42999999999995</v>
      </c>
      <c r="M95" s="27">
        <f t="shared" si="2"/>
        <v>-0.30813978494623662</v>
      </c>
      <c r="N95" s="27">
        <f t="shared" si="3"/>
        <v>-0.17719948849104861</v>
      </c>
      <c r="O95" s="26">
        <v>732.72</v>
      </c>
      <c r="P95" s="29">
        <v>1414.14</v>
      </c>
      <c r="R95" s="38" t="s">
        <v>121</v>
      </c>
      <c r="S95" s="29">
        <v>2126.71</v>
      </c>
      <c r="T95" s="39">
        <v>2125.29</v>
      </c>
      <c r="U95" s="39">
        <v>2252</v>
      </c>
      <c r="V95" s="39">
        <v>2238.14</v>
      </c>
      <c r="W95" s="39">
        <v>1921.57</v>
      </c>
      <c r="X95" s="39">
        <v>1661</v>
      </c>
    </row>
    <row r="96" spans="1:24" ht="15">
      <c r="A96">
        <v>95</v>
      </c>
      <c r="B96" t="s">
        <v>122</v>
      </c>
      <c r="C96" s="29">
        <f>VLOOKUP($B96,FY20_Ag_Vals!B:D,3,FALSE)</f>
        <v>1790.71</v>
      </c>
      <c r="D96" s="29">
        <f>VLOOKUP($B96,FY19_Ag_Vals!B:D,3,FALSE)</f>
        <v>2070.29</v>
      </c>
      <c r="J96">
        <v>947.14</v>
      </c>
      <c r="K96">
        <v>874.14</v>
      </c>
      <c r="L96" s="25">
        <v>754.71</v>
      </c>
      <c r="M96" s="27">
        <f t="shared" si="2"/>
        <v>-0.20316954198956849</v>
      </c>
      <c r="N96" s="27">
        <f t="shared" si="3"/>
        <v>-0.13662571212849195</v>
      </c>
      <c r="O96" s="26">
        <v>916.72</v>
      </c>
      <c r="P96" s="29">
        <v>1465.14</v>
      </c>
      <c r="R96" s="38" t="s">
        <v>122</v>
      </c>
      <c r="S96" s="29">
        <v>2205.5700000000002</v>
      </c>
      <c r="T96" s="39">
        <v>2290.14</v>
      </c>
      <c r="U96" s="39">
        <v>2474.71</v>
      </c>
      <c r="V96" s="39">
        <v>2453.29</v>
      </c>
      <c r="W96" s="39">
        <v>2100.71</v>
      </c>
      <c r="X96" s="39">
        <v>1806.29</v>
      </c>
    </row>
    <row r="97" spans="1:24" ht="15">
      <c r="A97">
        <v>96</v>
      </c>
      <c r="B97" t="s">
        <v>123</v>
      </c>
      <c r="C97" s="29">
        <f>VLOOKUP($B97,FY20_Ag_Vals!B:D,3,FALSE)</f>
        <v>1634.57</v>
      </c>
      <c r="D97" s="29">
        <f>VLOOKUP($B97,FY19_Ag_Vals!B:D,3,FALSE)</f>
        <v>1924</v>
      </c>
      <c r="J97">
        <v>790</v>
      </c>
      <c r="K97">
        <v>773.43</v>
      </c>
      <c r="L97" s="25">
        <v>697.57</v>
      </c>
      <c r="M97" s="27">
        <f t="shared" si="2"/>
        <v>-0.11699999999999988</v>
      </c>
      <c r="N97" s="27">
        <f t="shared" si="3"/>
        <v>-9.8082567265298626E-2</v>
      </c>
      <c r="O97" s="26">
        <v>714.8</v>
      </c>
      <c r="P97" s="29">
        <v>1069.1400000000001</v>
      </c>
      <c r="R97" s="38" t="s">
        <v>123</v>
      </c>
      <c r="S97" s="29">
        <v>2178.4299999999998</v>
      </c>
      <c r="T97" s="39">
        <v>2288.29</v>
      </c>
      <c r="U97" s="39">
        <v>2439</v>
      </c>
      <c r="V97" s="39">
        <v>2273.5700000000002</v>
      </c>
      <c r="W97" s="39">
        <v>1831.14</v>
      </c>
      <c r="X97" s="39">
        <v>1463.71</v>
      </c>
    </row>
    <row r="98" spans="1:24" ht="15">
      <c r="A98">
        <v>97</v>
      </c>
      <c r="B98" t="s">
        <v>124</v>
      </c>
      <c r="C98" s="29">
        <f>VLOOKUP($B98,FY20_Ag_Vals!B:D,3,FALSE)</f>
        <v>1842.14</v>
      </c>
      <c r="D98" s="29">
        <f>VLOOKUP($B98,FY19_Ag_Vals!B:D,3,FALSE)</f>
        <v>2159.5700000000002</v>
      </c>
      <c r="J98">
        <v>672.29</v>
      </c>
      <c r="K98">
        <v>593.42999999999995</v>
      </c>
      <c r="L98" s="25">
        <v>516.71</v>
      </c>
      <c r="M98" s="27">
        <f t="shared" si="2"/>
        <v>-0.23141798926058688</v>
      </c>
      <c r="N98" s="27">
        <f t="shared" si="3"/>
        <v>-0.12928230793859419</v>
      </c>
      <c r="O98" s="26">
        <v>637.20000000000005</v>
      </c>
      <c r="P98" s="29">
        <v>1153.43</v>
      </c>
      <c r="R98" s="38" t="s">
        <v>124</v>
      </c>
      <c r="S98" s="29">
        <v>2269.71</v>
      </c>
      <c r="T98" s="39">
        <v>2352.29</v>
      </c>
      <c r="U98" s="39">
        <v>2435</v>
      </c>
      <c r="V98" s="39">
        <v>2328.71</v>
      </c>
      <c r="W98" s="39">
        <v>1861.43</v>
      </c>
      <c r="X98" s="39">
        <v>1539.14</v>
      </c>
    </row>
    <row r="99" spans="1:24" ht="15">
      <c r="A99">
        <v>98</v>
      </c>
      <c r="B99" t="s">
        <v>125</v>
      </c>
      <c r="C99" s="29">
        <f>VLOOKUP($B99,FY20_Ag_Vals!B:D,3,FALSE)</f>
        <v>1726.29</v>
      </c>
      <c r="D99" s="29">
        <f>VLOOKUP($B99,FY19_Ag_Vals!B:D,3,FALSE)</f>
        <v>2058.71</v>
      </c>
      <c r="J99">
        <v>887.57</v>
      </c>
      <c r="K99">
        <v>810</v>
      </c>
      <c r="L99" s="25">
        <v>704.43</v>
      </c>
      <c r="M99" s="27">
        <f t="shared" si="2"/>
        <v>-0.20633865497932569</v>
      </c>
      <c r="N99" s="27">
        <f t="shared" si="3"/>
        <v>-0.13033333333333341</v>
      </c>
      <c r="O99" s="26">
        <v>884.89</v>
      </c>
      <c r="P99" s="29">
        <v>1388.43</v>
      </c>
      <c r="R99" s="38" t="s">
        <v>125</v>
      </c>
      <c r="S99" s="29">
        <v>2253.29</v>
      </c>
      <c r="T99" s="39">
        <v>2300.5700000000002</v>
      </c>
      <c r="U99" s="39">
        <v>2506.29</v>
      </c>
      <c r="V99" s="39">
        <v>2467</v>
      </c>
      <c r="W99" s="39">
        <v>2069.71</v>
      </c>
      <c r="X99" s="39">
        <v>1719.29</v>
      </c>
    </row>
    <row r="100" spans="1:24" ht="15">
      <c r="A100">
        <v>99</v>
      </c>
      <c r="B100" t="s">
        <v>126</v>
      </c>
      <c r="C100" s="29">
        <f>VLOOKUP($B100,FY20_Ag_Vals!B:D,3,FALSE)</f>
        <v>1738.71</v>
      </c>
      <c r="D100" s="29">
        <f>VLOOKUP($B100,FY19_Ag_Vals!B:D,3,FALSE)</f>
        <v>2149.14</v>
      </c>
      <c r="J100">
        <v>940.29</v>
      </c>
      <c r="K100">
        <v>824.14</v>
      </c>
      <c r="L100" s="25">
        <v>680</v>
      </c>
      <c r="M100" s="27">
        <f t="shared" si="2"/>
        <v>-0.27681885375788318</v>
      </c>
      <c r="N100" s="27">
        <f t="shared" si="3"/>
        <v>-0.17489746887664714</v>
      </c>
      <c r="O100" s="26">
        <v>925.01</v>
      </c>
      <c r="P100" s="29">
        <v>1477.57</v>
      </c>
      <c r="R100" s="38" t="s">
        <v>126</v>
      </c>
      <c r="S100" s="29">
        <v>2228.71</v>
      </c>
      <c r="T100" s="39">
        <v>2429</v>
      </c>
      <c r="U100" s="39">
        <v>2556</v>
      </c>
      <c r="V100" s="39">
        <v>2556.14</v>
      </c>
      <c r="W100" s="39">
        <v>2124</v>
      </c>
      <c r="X100" s="39">
        <v>1877.14</v>
      </c>
    </row>
    <row r="101" spans="1:24" ht="15">
      <c r="L101" s="26"/>
      <c r="R101" s="38" t="s">
        <v>140</v>
      </c>
      <c r="T101" s="39">
        <v>2154.4299999999998</v>
      </c>
      <c r="U101" s="39">
        <v>2207.4299999999998</v>
      </c>
      <c r="V101" s="39">
        <v>2152.29</v>
      </c>
      <c r="W101" s="39">
        <v>1803.43</v>
      </c>
      <c r="X101" s="39">
        <v>1509.29</v>
      </c>
    </row>
    <row r="102" spans="1:24">
      <c r="L102" s="25">
        <v>637.57000000000005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pageSetUpPr fitToPage="1"/>
  </sheetPr>
  <dimension ref="A1:L61"/>
  <sheetViews>
    <sheetView showGridLines="0" tabSelected="1" workbookViewId="0">
      <selection activeCell="K23" sqref="K23"/>
    </sheetView>
  </sheetViews>
  <sheetFormatPr defaultColWidth="8.85546875" defaultRowHeight="12.75"/>
  <cols>
    <col min="1" max="1" width="2.140625" customWidth="1"/>
    <col min="2" max="2" width="11.140625" customWidth="1"/>
    <col min="3" max="3" width="36.42578125" customWidth="1"/>
    <col min="4" max="4" width="19.140625" customWidth="1"/>
    <col min="5" max="5" width="3.42578125" customWidth="1"/>
    <col min="6" max="6" width="15.28515625" customWidth="1"/>
    <col min="7" max="7" width="1.7109375" customWidth="1"/>
    <col min="8" max="8" width="2.7109375" customWidth="1"/>
    <col min="9" max="9" width="13.28515625" customWidth="1"/>
    <col min="10" max="10" width="1.140625" customWidth="1"/>
    <col min="11" max="11" width="14.28515625" customWidth="1"/>
    <col min="12" max="12" width="2.140625" customWidth="1"/>
  </cols>
  <sheetData>
    <row r="1" spans="1:12" ht="15.75">
      <c r="A1" s="97">
        <f>worksheet_FY18!H5</f>
        <v>1</v>
      </c>
      <c r="B1" s="130" t="s">
        <v>197</v>
      </c>
      <c r="C1" s="130"/>
      <c r="D1" s="130"/>
      <c r="E1" s="130"/>
      <c r="F1" s="130"/>
      <c r="G1" s="130"/>
      <c r="H1" s="130"/>
      <c r="I1" s="130"/>
      <c r="J1" s="130"/>
      <c r="K1" s="130"/>
    </row>
    <row r="2" spans="1:12" ht="8.4499999999999993" customHeight="1" thickBot="1"/>
    <row r="3" spans="1:12" ht="18.600000000000001" customHeight="1" thickBot="1">
      <c r="A3" s="30"/>
      <c r="B3" s="32" t="s">
        <v>24</v>
      </c>
      <c r="C3" s="33"/>
      <c r="D3" s="33"/>
      <c r="E3" s="33"/>
      <c r="F3" s="33"/>
      <c r="G3" s="33"/>
      <c r="H3" s="33"/>
      <c r="I3" s="33"/>
      <c r="J3" s="33"/>
      <c r="K3" s="34"/>
      <c r="L3" s="30"/>
    </row>
    <row r="4" spans="1:12" ht="5.45" customHeight="1">
      <c r="A4" s="30"/>
      <c r="B4" s="3"/>
      <c r="K4" s="4"/>
      <c r="L4" s="30"/>
    </row>
    <row r="5" spans="1:12">
      <c r="A5" s="30"/>
      <c r="B5" s="3"/>
      <c r="K5" s="4"/>
      <c r="L5" s="30"/>
    </row>
    <row r="6" spans="1:12">
      <c r="A6" s="30"/>
      <c r="B6" s="3"/>
      <c r="K6" s="4"/>
      <c r="L6" s="30"/>
    </row>
    <row r="7" spans="1:12">
      <c r="A7" s="30"/>
      <c r="B7" s="3"/>
      <c r="K7" s="4"/>
      <c r="L7" s="30"/>
    </row>
    <row r="8" spans="1:12" ht="15" customHeight="1">
      <c r="A8" s="30"/>
      <c r="B8" s="3"/>
      <c r="K8" s="4"/>
      <c r="L8" s="30"/>
    </row>
    <row r="9" spans="1:12">
      <c r="A9" s="30"/>
      <c r="B9" s="3"/>
      <c r="I9" s="5"/>
      <c r="J9" s="5"/>
      <c r="K9" s="4"/>
      <c r="L9" s="30"/>
    </row>
    <row r="10" spans="1:12">
      <c r="A10" s="30"/>
      <c r="B10" s="3"/>
      <c r="K10" s="4"/>
      <c r="L10" s="30"/>
    </row>
    <row r="11" spans="1:12">
      <c r="A11" s="30"/>
      <c r="B11" s="3"/>
      <c r="K11" s="4"/>
      <c r="L11" s="30"/>
    </row>
    <row r="12" spans="1:12">
      <c r="A12" s="30"/>
      <c r="B12" s="3"/>
      <c r="C12" s="20"/>
      <c r="K12" s="4"/>
      <c r="L12" s="30"/>
    </row>
    <row r="13" spans="1:12" ht="18">
      <c r="A13" s="30"/>
      <c r="B13" s="24" t="str">
        <f ca="1">IF(TODAY()&lt;7/31/2001,"The data used to create this application has expired.  Please download a ","")</f>
        <v/>
      </c>
      <c r="C13" s="22"/>
      <c r="D13" s="22"/>
      <c r="E13" s="22"/>
      <c r="F13" s="22"/>
      <c r="G13" s="22"/>
      <c r="H13" s="22"/>
      <c r="I13" s="22"/>
      <c r="J13" s="22"/>
      <c r="K13" s="23"/>
      <c r="L13" s="30"/>
    </row>
    <row r="14" spans="1:12" ht="18">
      <c r="A14" s="30"/>
      <c r="B14" s="24" t="str">
        <f ca="1">IF(TODAY()&lt;7/31/2001," new version from www.ia-sb.org","")</f>
        <v/>
      </c>
      <c r="C14" s="21"/>
      <c r="D14" s="22"/>
      <c r="E14" s="22"/>
      <c r="F14" s="52" t="s">
        <v>187</v>
      </c>
      <c r="G14" s="51"/>
      <c r="H14" s="51"/>
      <c r="I14" s="52" t="s">
        <v>195</v>
      </c>
      <c r="J14" s="51"/>
      <c r="K14" s="53" t="s">
        <v>155</v>
      </c>
      <c r="L14" s="30"/>
    </row>
    <row r="15" spans="1:12">
      <c r="A15" s="30"/>
      <c r="B15" s="3"/>
      <c r="C15" s="8" t="str">
        <f>IF(worksheet_FY18!H5=3,"For Ag. Land, Enter the number of acres of your property","Enter the assessed (market) value of your property")</f>
        <v>Enter the assessed (market) value of your property</v>
      </c>
      <c r="D15" s="9"/>
      <c r="E15" s="18" t="str">
        <f>IF(worksheet_FY18!H5=3,"","$")</f>
        <v>$</v>
      </c>
      <c r="F15" s="58">
        <v>1000</v>
      </c>
      <c r="G15" s="111"/>
      <c r="H15" s="111"/>
      <c r="I15" s="58">
        <v>1000</v>
      </c>
      <c r="J15" s="111"/>
      <c r="K15" s="114">
        <f>I15-F15</f>
        <v>0</v>
      </c>
      <c r="L15" s="30"/>
    </row>
    <row r="16" spans="1:12">
      <c r="A16" s="30"/>
      <c r="B16" s="3"/>
      <c r="E16" s="12"/>
      <c r="F16" s="16"/>
      <c r="G16" s="16"/>
      <c r="H16" s="16"/>
      <c r="I16" s="16"/>
      <c r="J16" s="16"/>
      <c r="K16" s="16"/>
      <c r="L16" s="30"/>
    </row>
    <row r="17" spans="1:12" s="2" customFormat="1" ht="38.25">
      <c r="A17" s="31"/>
      <c r="B17" s="6"/>
      <c r="C17" s="10" t="s">
        <v>26</v>
      </c>
      <c r="D17" s="11"/>
      <c r="E17" s="19" t="s">
        <v>131</v>
      </c>
      <c r="F17" s="96">
        <v>12.1</v>
      </c>
      <c r="G17" s="112"/>
      <c r="H17" s="56"/>
      <c r="I17" s="96">
        <v>15.35</v>
      </c>
      <c r="J17" s="56"/>
      <c r="K17" s="113">
        <f>I17-F17</f>
        <v>3.25</v>
      </c>
      <c r="L17" s="31"/>
    </row>
    <row r="18" spans="1:12" s="2" customFormat="1" ht="13.5" thickBot="1">
      <c r="A18" s="31"/>
      <c r="B18" s="6"/>
      <c r="C18" s="54"/>
      <c r="E18" s="55"/>
      <c r="F18" s="56"/>
      <c r="G18" s="56"/>
      <c r="H18" s="56"/>
      <c r="I18" s="56"/>
      <c r="J18" s="56"/>
      <c r="K18" s="56"/>
      <c r="L18" s="31"/>
    </row>
    <row r="19" spans="1:12" s="2" customFormat="1">
      <c r="A19" s="31"/>
      <c r="B19" s="131" t="s">
        <v>167</v>
      </c>
      <c r="C19" s="140" t="s">
        <v>160</v>
      </c>
      <c r="D19" s="69"/>
      <c r="E19" s="91" t="s">
        <v>5</v>
      </c>
      <c r="F19" s="70">
        <f>IF(worksheet_FY19!H5=1,F15,"N.A.")</f>
        <v>1000</v>
      </c>
      <c r="G19" s="70"/>
      <c r="H19" s="71"/>
      <c r="I19" s="70">
        <f>IF(worksheet_FY20!H5=1,I15,"N.A.")</f>
        <v>1000</v>
      </c>
      <c r="J19" s="72"/>
      <c r="K19" s="56"/>
      <c r="L19" s="31"/>
    </row>
    <row r="20" spans="1:12" s="2" customFormat="1">
      <c r="A20" s="31"/>
      <c r="B20" s="131"/>
      <c r="C20" s="143"/>
      <c r="D20" s="73"/>
      <c r="E20" s="78" t="s">
        <v>156</v>
      </c>
      <c r="F20" s="75">
        <f>worksheet_FY19!C8</f>
        <v>0.55620899999999995</v>
      </c>
      <c r="G20" s="75"/>
      <c r="H20" s="76"/>
      <c r="I20" s="75">
        <f>worksheet_FY20!C8</f>
        <v>0.56981000000000004</v>
      </c>
      <c r="J20" s="77"/>
      <c r="K20" s="56"/>
      <c r="L20" s="31"/>
    </row>
    <row r="21" spans="1:12" s="2" customFormat="1">
      <c r="A21" s="31"/>
      <c r="B21" s="131"/>
      <c r="C21" s="143"/>
      <c r="D21" s="78"/>
      <c r="E21" s="78" t="s">
        <v>174</v>
      </c>
      <c r="F21" s="79">
        <f>IF(worksheet_FY19!H5=1,worksheet_FY19!C12,"N.A.")</f>
        <v>556.20899999999995</v>
      </c>
      <c r="G21" s="79"/>
      <c r="H21" s="80"/>
      <c r="I21" s="79">
        <f>IF(worksheet_FY20!H5=1,worksheet_FY20!C12,"N.A.")</f>
        <v>569.81000000000006</v>
      </c>
      <c r="J21" s="77"/>
      <c r="K21" s="56"/>
      <c r="L21" s="31"/>
    </row>
    <row r="22" spans="1:12" s="2" customFormat="1" ht="8.4499999999999993" customHeight="1">
      <c r="A22" s="31"/>
      <c r="B22" s="131"/>
      <c r="C22" s="143"/>
      <c r="D22" s="73"/>
      <c r="E22" s="73"/>
      <c r="F22" s="80"/>
      <c r="G22" s="80"/>
      <c r="H22" s="80"/>
      <c r="I22" s="80"/>
      <c r="J22" s="77"/>
      <c r="K22" s="56"/>
      <c r="L22" s="31"/>
    </row>
    <row r="23" spans="1:12" s="2" customFormat="1">
      <c r="A23" s="31"/>
      <c r="B23" s="131"/>
      <c r="C23" s="143"/>
      <c r="D23" s="78"/>
      <c r="E23" s="78" t="s">
        <v>158</v>
      </c>
      <c r="F23" s="79">
        <f>IF(worksheet_FY19!J7=1,worksheet_FY19!C10,"N.A")</f>
        <v>4850</v>
      </c>
      <c r="G23" s="79"/>
      <c r="H23" s="81"/>
      <c r="I23" s="79">
        <f>IF(worksheet_FY20!J7=1,worksheet_FY20!C10,"N.A")</f>
        <v>4850</v>
      </c>
      <c r="J23" s="77"/>
      <c r="K23" s="56"/>
      <c r="L23" s="31"/>
    </row>
    <row r="24" spans="1:12" s="2" customFormat="1">
      <c r="A24" s="31"/>
      <c r="B24" s="131"/>
      <c r="C24" s="143"/>
      <c r="D24" s="78"/>
      <c r="E24" s="78" t="s">
        <v>159</v>
      </c>
      <c r="F24" s="79" t="str">
        <f>IF(worksheet_FY19!J8=2,worksheet_FY19!C11,"N.A")</f>
        <v>N.A</v>
      </c>
      <c r="G24" s="79"/>
      <c r="H24" s="80"/>
      <c r="I24" s="82" t="str">
        <f>IF(worksheet_FY20!J8=2,worksheet_FY20!C11,"N.A")</f>
        <v>N.A</v>
      </c>
      <c r="J24" s="77"/>
      <c r="K24" s="56"/>
      <c r="L24" s="31"/>
    </row>
    <row r="25" spans="1:12" s="2" customFormat="1" ht="6.6" customHeight="1">
      <c r="A25" s="31"/>
      <c r="B25" s="131"/>
      <c r="C25" s="143"/>
      <c r="D25" s="78"/>
      <c r="E25" s="78"/>
      <c r="F25" s="79"/>
      <c r="G25" s="79"/>
      <c r="H25" s="80"/>
      <c r="I25" s="82"/>
      <c r="J25" s="77"/>
      <c r="K25" s="56"/>
      <c r="L25" s="31"/>
    </row>
    <row r="26" spans="1:12" s="2" customFormat="1" ht="13.5" thickBot="1">
      <c r="A26" s="31"/>
      <c r="B26" s="131"/>
      <c r="C26" s="83"/>
      <c r="D26" s="84"/>
      <c r="E26" s="84" t="s">
        <v>166</v>
      </c>
      <c r="F26" s="85">
        <f>IF(worksheet_FY19!H5=1,F21-(SUM(F23:F24)),"N.A")</f>
        <v>-4293.7910000000002</v>
      </c>
      <c r="G26" s="85"/>
      <c r="H26" s="86"/>
      <c r="I26" s="85">
        <f>IF(worksheet_FY20!H5=1,I21-(SUM(I23:I24)),"N.A")</f>
        <v>-4280.1899999999996</v>
      </c>
      <c r="J26" s="87"/>
      <c r="K26" s="56"/>
      <c r="L26" s="31"/>
    </row>
    <row r="27" spans="1:12" s="2" customFormat="1" ht="5.0999999999999996" customHeight="1">
      <c r="A27" s="31"/>
      <c r="B27" s="131"/>
      <c r="C27" s="88"/>
      <c r="D27" s="89"/>
      <c r="E27" s="74"/>
      <c r="F27" s="90"/>
      <c r="G27" s="90"/>
      <c r="H27" s="90"/>
      <c r="I27" s="90"/>
      <c r="J27" s="90"/>
      <c r="K27" s="56"/>
      <c r="L27" s="31"/>
    </row>
    <row r="28" spans="1:12" s="2" customFormat="1" ht="8.4499999999999993" customHeight="1" thickBot="1">
      <c r="A28" s="31"/>
      <c r="B28" s="131"/>
      <c r="C28" s="88"/>
      <c r="D28" s="89"/>
      <c r="E28" s="74"/>
      <c r="F28" s="90"/>
      <c r="G28" s="90"/>
      <c r="H28" s="90"/>
      <c r="I28" s="90"/>
      <c r="J28" s="90"/>
      <c r="K28" s="56"/>
      <c r="L28" s="31"/>
    </row>
    <row r="29" spans="1:12" s="2" customFormat="1">
      <c r="A29" s="31"/>
      <c r="B29" s="131"/>
      <c r="C29" s="140" t="s">
        <v>162</v>
      </c>
      <c r="D29" s="69"/>
      <c r="E29" s="91" t="s">
        <v>5</v>
      </c>
      <c r="F29" s="70" t="str">
        <f>IF(worksheet_FY19!H5=2,F15,"N.A.")</f>
        <v>N.A.</v>
      </c>
      <c r="G29" s="70"/>
      <c r="H29" s="71"/>
      <c r="I29" s="70" t="str">
        <f>IF(worksheet_FY20!H5=2,I15,"N.A.")</f>
        <v>N.A.</v>
      </c>
      <c r="J29" s="72"/>
      <c r="K29" s="56"/>
      <c r="L29" s="31"/>
    </row>
    <row r="30" spans="1:12" s="2" customFormat="1">
      <c r="A30" s="31"/>
      <c r="B30" s="131"/>
      <c r="C30" s="141"/>
      <c r="D30" s="73"/>
      <c r="E30" s="78" t="s">
        <v>156</v>
      </c>
      <c r="F30" s="75">
        <f>worksheet_FY19!D8</f>
        <v>0.9</v>
      </c>
      <c r="G30" s="75"/>
      <c r="H30" s="76"/>
      <c r="I30" s="75">
        <f>worksheet_FY20!D8</f>
        <v>0.9</v>
      </c>
      <c r="J30" s="77"/>
      <c r="K30" s="56"/>
      <c r="L30" s="31"/>
    </row>
    <row r="31" spans="1:12" s="2" customFormat="1" ht="6.6" customHeight="1">
      <c r="A31" s="31"/>
      <c r="B31" s="131"/>
      <c r="C31" s="141"/>
      <c r="D31" s="73"/>
      <c r="E31" s="78"/>
      <c r="F31" s="75"/>
      <c r="G31" s="75"/>
      <c r="H31" s="76"/>
      <c r="I31" s="75"/>
      <c r="J31" s="77"/>
      <c r="K31" s="56"/>
      <c r="L31" s="31"/>
    </row>
    <row r="32" spans="1:12" s="2" customFormat="1" ht="13.5" thickBot="1">
      <c r="A32" s="31"/>
      <c r="B32" s="131"/>
      <c r="C32" s="142"/>
      <c r="D32" s="84"/>
      <c r="E32" s="84" t="s">
        <v>161</v>
      </c>
      <c r="F32" s="85" t="str">
        <f>IF(worksheet_FY19!H5=2,worksheet_FY19!D12,"N.A.")</f>
        <v>N.A.</v>
      </c>
      <c r="G32" s="85"/>
      <c r="H32" s="86"/>
      <c r="I32" s="85" t="str">
        <f>IF(worksheet_FY20!H5=2,worksheet_FY20!D12,"N.A.")</f>
        <v>N.A.</v>
      </c>
      <c r="J32" s="87"/>
      <c r="K32" s="56"/>
      <c r="L32" s="31"/>
    </row>
    <row r="33" spans="1:12" s="2" customFormat="1" ht="8.1" customHeight="1">
      <c r="A33" s="31"/>
      <c r="B33" s="131"/>
      <c r="C33" s="88"/>
      <c r="D33" s="89"/>
      <c r="E33" s="74"/>
      <c r="F33" s="90"/>
      <c r="G33" s="90"/>
      <c r="H33" s="90"/>
      <c r="I33" s="90"/>
      <c r="J33" s="90"/>
      <c r="K33" s="56"/>
      <c r="L33" s="31"/>
    </row>
    <row r="34" spans="1:12" s="2" customFormat="1" ht="10.35" customHeight="1" thickBot="1">
      <c r="A34" s="31"/>
      <c r="B34" s="131"/>
      <c r="C34" s="88"/>
      <c r="D34" s="89"/>
      <c r="E34" s="74"/>
      <c r="F34" s="90"/>
      <c r="G34" s="90"/>
      <c r="H34" s="90"/>
      <c r="I34" s="90"/>
      <c r="J34" s="90"/>
      <c r="K34" s="56"/>
      <c r="L34" s="31"/>
    </row>
    <row r="35" spans="1:12" s="2" customFormat="1">
      <c r="A35" s="31"/>
      <c r="B35" s="131"/>
      <c r="C35" s="140" t="s">
        <v>163</v>
      </c>
      <c r="D35" s="91"/>
      <c r="E35" s="91" t="s">
        <v>164</v>
      </c>
      <c r="F35" s="92" t="str">
        <f>IF(worksheet_FY19!H5=3,F15,"N.A.")</f>
        <v>N.A.</v>
      </c>
      <c r="G35" s="92"/>
      <c r="H35" s="93"/>
      <c r="I35" s="92" t="str">
        <f>IF(worksheet_FY20!H5=3,I15,"N.A.")</f>
        <v>N.A.</v>
      </c>
      <c r="J35" s="72"/>
      <c r="K35" s="56"/>
      <c r="L35" s="31"/>
    </row>
    <row r="36" spans="1:12" s="2" customFormat="1">
      <c r="A36" s="31"/>
      <c r="B36" s="131"/>
      <c r="C36" s="141"/>
      <c r="D36" s="78"/>
      <c r="E36" s="78" t="s">
        <v>175</v>
      </c>
      <c r="F36" s="79" t="str">
        <f>IF(worksheet_FY19!H5=3,agvalues!F5,"N.A.")</f>
        <v>N.A.</v>
      </c>
      <c r="G36" s="79"/>
      <c r="H36" s="76"/>
      <c r="I36" s="79" t="str">
        <f>IF(worksheet_FY20!H5=3,agvalues!F2,"N.A.")</f>
        <v>N.A.</v>
      </c>
      <c r="J36" s="77"/>
      <c r="K36" s="56"/>
      <c r="L36" s="31"/>
    </row>
    <row r="37" spans="1:12">
      <c r="A37" s="30"/>
      <c r="B37" s="131"/>
      <c r="C37" s="141"/>
      <c r="D37" s="78"/>
      <c r="E37" s="78" t="s">
        <v>165</v>
      </c>
      <c r="F37" s="79" t="str">
        <f>IF(worksheet_FY19!H5=3,LevyCalculator!F35*LevyCalculator!F36,"N.A.")</f>
        <v>N.A.</v>
      </c>
      <c r="G37" s="79"/>
      <c r="H37" s="80"/>
      <c r="I37" s="79" t="str">
        <f>IF(worksheet_FY20!H5=3,LevyCalculator!I35*LevyCalculator!I36,"N.A.")</f>
        <v>N.A.</v>
      </c>
      <c r="J37" s="77"/>
      <c r="K37" s="56"/>
      <c r="L37" s="30"/>
    </row>
    <row r="38" spans="1:12">
      <c r="A38" s="30"/>
      <c r="B38" s="131"/>
      <c r="C38" s="141"/>
      <c r="D38" s="73"/>
      <c r="E38" s="78" t="s">
        <v>156</v>
      </c>
      <c r="F38" s="75">
        <f>worksheet_FY19!E8</f>
        <v>0.54447999999999996</v>
      </c>
      <c r="G38" s="75"/>
      <c r="H38" s="76"/>
      <c r="I38" s="75">
        <f>worksheet_FY20!E8</f>
        <v>0.56132400000000005</v>
      </c>
      <c r="J38" s="77"/>
      <c r="K38" s="56"/>
      <c r="L38" s="30"/>
    </row>
    <row r="39" spans="1:12" ht="6" customHeight="1">
      <c r="A39" s="30"/>
      <c r="B39" s="131"/>
      <c r="C39" s="141"/>
      <c r="D39" s="78"/>
      <c r="E39" s="78"/>
      <c r="F39" s="94"/>
      <c r="G39" s="94"/>
      <c r="H39" s="95"/>
      <c r="I39" s="94"/>
      <c r="J39" s="77"/>
      <c r="K39" s="56"/>
      <c r="L39" s="30"/>
    </row>
    <row r="40" spans="1:12" ht="13.5" thickBot="1">
      <c r="A40" s="30"/>
      <c r="B40" s="131"/>
      <c r="C40" s="142"/>
      <c r="D40" s="84"/>
      <c r="E40" s="84" t="s">
        <v>157</v>
      </c>
      <c r="F40" s="85" t="str">
        <f>IF(worksheet_FY19!H5=3,F37*F38,"N.A.")</f>
        <v>N.A.</v>
      </c>
      <c r="G40" s="85"/>
      <c r="H40" s="86"/>
      <c r="I40" s="85" t="str">
        <f>IF(worksheet_FY20!H5=3,I37*I38,"N.A.")</f>
        <v>N.A.</v>
      </c>
      <c r="J40" s="87"/>
      <c r="K40" s="56"/>
      <c r="L40" s="30"/>
    </row>
    <row r="41" spans="1:12">
      <c r="A41" s="30"/>
      <c r="B41" s="3"/>
      <c r="C41" s="5"/>
      <c r="E41" s="12"/>
      <c r="F41" s="17"/>
      <c r="G41" s="17"/>
      <c r="H41" s="17"/>
      <c r="I41" s="17"/>
      <c r="J41" s="17"/>
      <c r="K41" s="17"/>
      <c r="L41" s="30"/>
    </row>
    <row r="42" spans="1:12" ht="13.35" customHeight="1">
      <c r="A42" s="30"/>
      <c r="B42" s="3"/>
      <c r="C42" s="132" t="s">
        <v>173</v>
      </c>
      <c r="D42" s="133"/>
      <c r="E42" s="133"/>
      <c r="F42" s="133"/>
      <c r="G42" s="133"/>
      <c r="H42" s="133"/>
      <c r="I42" s="133"/>
      <c r="J42" s="133"/>
      <c r="K42" s="133"/>
      <c r="L42" s="30"/>
    </row>
    <row r="43" spans="1:12" ht="4.3499999999999996" customHeight="1">
      <c r="A43" s="30"/>
      <c r="B43" s="3"/>
      <c r="C43" s="60"/>
      <c r="D43" s="61"/>
      <c r="E43" s="61"/>
      <c r="F43" s="61"/>
      <c r="G43" s="61"/>
      <c r="H43" s="61"/>
      <c r="I43" s="61"/>
      <c r="J43" s="61"/>
      <c r="K43" s="61"/>
      <c r="L43" s="30"/>
    </row>
    <row r="44" spans="1:12">
      <c r="A44" s="30"/>
      <c r="B44" s="3"/>
      <c r="E44" s="137" t="str">
        <f>F14</f>
        <v>FY 2019</v>
      </c>
      <c r="F44" s="138"/>
      <c r="G44" s="59"/>
      <c r="H44" s="139" t="str">
        <f>I14</f>
        <v>FY 2020</v>
      </c>
      <c r="I44" s="129" t="s">
        <v>151</v>
      </c>
      <c r="J44" s="59"/>
      <c r="K44" s="59" t="s">
        <v>168</v>
      </c>
      <c r="L44" s="30"/>
    </row>
    <row r="45" spans="1:12">
      <c r="A45" s="30"/>
      <c r="B45" s="3"/>
      <c r="C45" s="136" t="s">
        <v>169</v>
      </c>
      <c r="D45" s="135"/>
      <c r="E45" s="64"/>
      <c r="F45" s="100">
        <f>IF(worksheet_FY19!H5=1,LevyCalculator!F26,IF(worksheet_FY19!H5=2,LevyCalculator!F32,IF(worksheet_FY19!H5=3,LevyCalculator!F40)))</f>
        <v>-4293.7910000000002</v>
      </c>
      <c r="G45" s="108"/>
      <c r="H45" s="109"/>
      <c r="I45" s="65">
        <f>IF(worksheet_FY20!H5=1,LevyCalculator!I26,IF(worksheet_FY20!H5=2,LevyCalculator!I32,IF(worksheet_FY20!H5=3,LevyCalculator!I40)))</f>
        <v>-4280.1899999999996</v>
      </c>
      <c r="J45" s="108"/>
      <c r="K45" s="115">
        <f>I45-F45</f>
        <v>13.601000000000568</v>
      </c>
      <c r="L45" s="30"/>
    </row>
    <row r="46" spans="1:12">
      <c r="A46" s="30"/>
      <c r="B46" s="3"/>
      <c r="C46" s="136" t="s">
        <v>170</v>
      </c>
      <c r="D46" s="135"/>
      <c r="E46" s="98" t="s">
        <v>176</v>
      </c>
      <c r="F46" s="101">
        <f>F17</f>
        <v>12.1</v>
      </c>
      <c r="G46" s="104"/>
      <c r="H46" s="98" t="s">
        <v>176</v>
      </c>
      <c r="I46" s="67">
        <f>I17</f>
        <v>15.35</v>
      </c>
      <c r="J46" s="104"/>
      <c r="K46" s="68">
        <f>I46-F46</f>
        <v>3.25</v>
      </c>
      <c r="L46" s="30"/>
    </row>
    <row r="47" spans="1:12">
      <c r="A47" s="30"/>
      <c r="B47" s="3"/>
      <c r="C47" s="63"/>
      <c r="D47" s="62" t="s">
        <v>178</v>
      </c>
      <c r="E47" s="99" t="s">
        <v>177</v>
      </c>
      <c r="F47" s="102">
        <v>1000</v>
      </c>
      <c r="G47" s="105"/>
      <c r="H47" s="98" t="s">
        <v>177</v>
      </c>
      <c r="I47" s="68">
        <v>1000</v>
      </c>
      <c r="J47" s="105"/>
      <c r="K47" s="68"/>
      <c r="L47" s="30"/>
    </row>
    <row r="48" spans="1:12">
      <c r="A48" s="30"/>
      <c r="B48" s="3"/>
      <c r="C48" s="134" t="s">
        <v>171</v>
      </c>
      <c r="D48" s="135"/>
      <c r="E48" s="98" t="s">
        <v>179</v>
      </c>
      <c r="F48" s="103">
        <f>F46*F45/1000</f>
        <v>-51.954871100000005</v>
      </c>
      <c r="G48" s="106"/>
      <c r="H48" s="98" t="s">
        <v>179</v>
      </c>
      <c r="I48" s="103">
        <f>I46*I45/1000</f>
        <v>-65.700916499999991</v>
      </c>
      <c r="J48" s="106"/>
      <c r="K48" s="123">
        <f>I48-F48</f>
        <v>-13.746045399999986</v>
      </c>
      <c r="L48" s="30"/>
    </row>
    <row r="49" spans="1:12">
      <c r="A49" s="30"/>
      <c r="B49" s="3"/>
      <c r="C49" s="136" t="s">
        <v>172</v>
      </c>
      <c r="D49" s="135"/>
      <c r="E49" s="66"/>
      <c r="F49" s="110">
        <f>F48/12</f>
        <v>-4.3295725916666674</v>
      </c>
      <c r="G49" s="107"/>
      <c r="H49" s="66"/>
      <c r="I49" s="110">
        <f>I48/12</f>
        <v>-5.4750763749999996</v>
      </c>
      <c r="J49" s="107"/>
      <c r="K49" s="124">
        <f>I49-F49</f>
        <v>-1.1455037833333321</v>
      </c>
      <c r="L49" s="30"/>
    </row>
    <row r="50" spans="1:12">
      <c r="A50" s="30"/>
      <c r="B50" s="3"/>
      <c r="K50" s="4"/>
      <c r="L50" s="30"/>
    </row>
    <row r="51" spans="1:12">
      <c r="A51" s="30"/>
      <c r="B51" s="35" t="s">
        <v>25</v>
      </c>
      <c r="C51" s="7"/>
      <c r="D51" s="7"/>
      <c r="E51" s="7"/>
      <c r="F51" s="7"/>
      <c r="G51" s="7"/>
      <c r="H51" s="7"/>
      <c r="I51" s="7"/>
      <c r="J51" s="7"/>
      <c r="K51" s="126" t="s">
        <v>196</v>
      </c>
      <c r="L51" s="30"/>
    </row>
    <row r="52" spans="1:12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</row>
    <row r="53" spans="1:12" ht="21" customHeight="1">
      <c r="B53" s="128" t="s">
        <v>201</v>
      </c>
      <c r="C53" s="129"/>
      <c r="D53" s="129"/>
      <c r="E53" s="129"/>
      <c r="F53" s="129"/>
      <c r="G53" s="129"/>
      <c r="H53" s="129"/>
      <c r="I53" s="129"/>
      <c r="J53" s="129"/>
      <c r="K53" s="129"/>
      <c r="L53" s="129"/>
    </row>
    <row r="54" spans="1:12">
      <c r="B54" s="128" t="s">
        <v>145</v>
      </c>
      <c r="C54" s="129"/>
      <c r="D54" s="129"/>
      <c r="E54" s="129"/>
      <c r="F54" s="129"/>
      <c r="G54" s="129"/>
      <c r="H54" s="129"/>
      <c r="I54" s="129"/>
      <c r="J54" s="129"/>
      <c r="K54" s="129"/>
      <c r="L54" s="129"/>
    </row>
    <row r="55" spans="1:12">
      <c r="B55" s="128" t="s">
        <v>146</v>
      </c>
      <c r="C55" s="129"/>
      <c r="D55" s="129"/>
      <c r="E55" s="129"/>
      <c r="F55" s="129"/>
      <c r="G55" s="129"/>
      <c r="H55" s="129"/>
      <c r="I55" s="129"/>
      <c r="J55" s="129"/>
      <c r="K55" s="129"/>
    </row>
    <row r="56" spans="1:12" ht="9" customHeight="1"/>
    <row r="57" spans="1:12">
      <c r="B57" s="36" t="s">
        <v>147</v>
      </c>
    </row>
    <row r="58" spans="1:12">
      <c r="B58" s="36" t="s">
        <v>149</v>
      </c>
    </row>
    <row r="59" spans="1:12">
      <c r="B59" s="36" t="s">
        <v>148</v>
      </c>
    </row>
    <row r="61" spans="1:12">
      <c r="B61" s="36" t="s">
        <v>193</v>
      </c>
    </row>
  </sheetData>
  <mergeCells count="15">
    <mergeCell ref="B54:L54"/>
    <mergeCell ref="B55:K55"/>
    <mergeCell ref="B1:K1"/>
    <mergeCell ref="B19:B40"/>
    <mergeCell ref="C42:K42"/>
    <mergeCell ref="C48:D48"/>
    <mergeCell ref="C49:D49"/>
    <mergeCell ref="E44:F44"/>
    <mergeCell ref="H44:I44"/>
    <mergeCell ref="C45:D45"/>
    <mergeCell ref="C46:D46"/>
    <mergeCell ref="C29:C32"/>
    <mergeCell ref="C19:C25"/>
    <mergeCell ref="C35:C40"/>
    <mergeCell ref="B53:L53"/>
  </mergeCells>
  <phoneticPr fontId="0" type="noConversion"/>
  <conditionalFormatting sqref="C19:D19 C26:D26 D20:D25 F19:J26">
    <cfRule type="expression" dxfId="4" priority="7" stopIfTrue="1">
      <formula>$A$1=1</formula>
    </cfRule>
  </conditionalFormatting>
  <conditionalFormatting sqref="C29:D29 D30:D32 F29:J32">
    <cfRule type="expression" dxfId="3" priority="6" stopIfTrue="1">
      <formula>$A$1=2</formula>
    </cfRule>
  </conditionalFormatting>
  <conditionalFormatting sqref="E19:E26">
    <cfRule type="expression" dxfId="2" priority="4" stopIfTrue="1">
      <formula>$A$1=1</formula>
    </cfRule>
  </conditionalFormatting>
  <conditionalFormatting sqref="E29:E32">
    <cfRule type="expression" dxfId="1" priority="2" stopIfTrue="1">
      <formula>$A$1=2</formula>
    </cfRule>
  </conditionalFormatting>
  <conditionalFormatting sqref="C35:J40">
    <cfRule type="expression" dxfId="0" priority="1" stopIfTrue="1">
      <formula>$A$1=3</formula>
    </cfRule>
  </conditionalFormatting>
  <printOptions horizontalCentered="1"/>
  <pageMargins left="0.31" right="0.27" top="0.77" bottom="1" header="0.5" footer="0.5"/>
  <pageSetup scale="84" orientation="portrait" horizontalDpi="4294967292" r:id="rId1"/>
  <headerFooter alignWithMargins="0">
    <oddFooter>&amp;LIASB:  &amp;F  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9" r:id="rId4" name="Group Box 25">
              <controlPr defaultSize="0" autoFill="0" autoPict="0" macro="[0]!GroupBox25_Click">
                <anchor moveWithCells="1">
                  <from>
                    <xdr:col>5</xdr:col>
                    <xdr:colOff>304800</xdr:colOff>
                    <xdr:row>5</xdr:row>
                    <xdr:rowOff>9525</xdr:rowOff>
                  </from>
                  <to>
                    <xdr:col>8</xdr:col>
                    <xdr:colOff>790575</xdr:colOff>
                    <xdr:row>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Option Button 4">
              <controlPr defaultSize="0" autoFill="0" autoLine="0" autoPict="0">
                <anchor moveWithCells="1">
                  <from>
                    <xdr:col>1</xdr:col>
                    <xdr:colOff>333375</xdr:colOff>
                    <xdr:row>6</xdr:row>
                    <xdr:rowOff>0</xdr:rowOff>
                  </from>
                  <to>
                    <xdr:col>2</xdr:col>
                    <xdr:colOff>571500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Group Box 8">
              <controlPr defaultSize="0" autoFill="0" autoPict="0">
                <anchor moveWithCells="1">
                  <from>
                    <xdr:col>1</xdr:col>
                    <xdr:colOff>228600</xdr:colOff>
                    <xdr:row>5</xdr:row>
                    <xdr:rowOff>0</xdr:rowOff>
                  </from>
                  <to>
                    <xdr:col>2</xdr:col>
                    <xdr:colOff>981075</xdr:colOff>
                    <xdr:row>11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Option Button 10">
              <controlPr defaultSize="0" autoFill="0" autoLine="0" autoPict="0">
                <anchor moveWithCells="1">
                  <from>
                    <xdr:col>1</xdr:col>
                    <xdr:colOff>314325</xdr:colOff>
                    <xdr:row>7</xdr:row>
                    <xdr:rowOff>9525</xdr:rowOff>
                  </from>
                  <to>
                    <xdr:col>2</xdr:col>
                    <xdr:colOff>714375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8" name="Option Button 16">
              <controlPr defaultSize="0" autoFill="0" autoLine="0" autoPict="0">
                <anchor moveWithCells="1">
                  <from>
                    <xdr:col>1</xdr:col>
                    <xdr:colOff>333375</xdr:colOff>
                    <xdr:row>8</xdr:row>
                    <xdr:rowOff>123825</xdr:rowOff>
                  </from>
                  <to>
                    <xdr:col>2</xdr:col>
                    <xdr:colOff>390525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9" name="Group Box 17">
              <controlPr defaultSize="0" autoFill="0" autoPict="0">
                <anchor moveWithCells="1">
                  <from>
                    <xdr:col>2</xdr:col>
                    <xdr:colOff>1552575</xdr:colOff>
                    <xdr:row>4</xdr:row>
                    <xdr:rowOff>161925</xdr:rowOff>
                  </from>
                  <to>
                    <xdr:col>3</xdr:col>
                    <xdr:colOff>714375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0" name="Check Box 18">
              <controlPr defaultSize="0" autoFill="0" autoLine="0" autoPict="0">
                <anchor moveWithCells="1">
                  <from>
                    <xdr:col>2</xdr:col>
                    <xdr:colOff>1676400</xdr:colOff>
                    <xdr:row>8</xdr:row>
                    <xdr:rowOff>47625</xdr:rowOff>
                  </from>
                  <to>
                    <xdr:col>3</xdr:col>
                    <xdr:colOff>428625</xdr:colOff>
                    <xdr:row>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1" name="Check Box 19">
              <controlPr defaultSize="0" autoFill="0" autoLine="0" autoPict="0">
                <anchor moveWithCells="1">
                  <from>
                    <xdr:col>2</xdr:col>
                    <xdr:colOff>1666875</xdr:colOff>
                    <xdr:row>9</xdr:row>
                    <xdr:rowOff>66675</xdr:rowOff>
                  </from>
                  <to>
                    <xdr:col>3</xdr:col>
                    <xdr:colOff>466725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2" name="Drop Down 24">
              <controlPr defaultSize="0" autoLine="0" autoPict="0">
                <anchor moveWithCells="1">
                  <from>
                    <xdr:col>5</xdr:col>
                    <xdr:colOff>523875</xdr:colOff>
                    <xdr:row>7</xdr:row>
                    <xdr:rowOff>142875</xdr:rowOff>
                  </from>
                  <to>
                    <xdr:col>8</xdr:col>
                    <xdr:colOff>504825</xdr:colOff>
                    <xdr:row>8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L104"/>
  <sheetViews>
    <sheetView workbookViewId="0">
      <selection activeCell="G24" sqref="G24"/>
    </sheetView>
  </sheetViews>
  <sheetFormatPr defaultColWidth="8.85546875" defaultRowHeight="12.75"/>
  <cols>
    <col min="4" max="4" width="22.42578125" bestFit="1" customWidth="1"/>
    <col min="6" max="6" width="16.42578125" bestFit="1" customWidth="1"/>
    <col min="7" max="7" width="8.140625" bestFit="1" customWidth="1"/>
  </cols>
  <sheetData>
    <row r="2" spans="2:12">
      <c r="B2" t="s">
        <v>142</v>
      </c>
      <c r="D2" s="28" t="s">
        <v>182</v>
      </c>
      <c r="F2" s="28" t="s">
        <v>181</v>
      </c>
      <c r="K2" s="28" t="s">
        <v>183</v>
      </c>
    </row>
    <row r="3" spans="2:12" ht="15">
      <c r="B3" t="s">
        <v>28</v>
      </c>
      <c r="D3" s="26">
        <f>VLOOKUP(B3,K:L,2,FALSE)</f>
        <v>1610.57</v>
      </c>
      <c r="E3" s="26"/>
      <c r="G3" s="26"/>
      <c r="K3" s="116" t="s">
        <v>28</v>
      </c>
      <c r="L3" s="117">
        <v>1610.57</v>
      </c>
    </row>
    <row r="4" spans="2:12" ht="15">
      <c r="B4" t="s">
        <v>29</v>
      </c>
      <c r="D4" s="26">
        <f t="shared" ref="D4:D67" si="0">VLOOKUP(B4,K:L,2,FALSE)</f>
        <v>1545</v>
      </c>
      <c r="E4" s="26"/>
      <c r="G4" s="26"/>
      <c r="K4" s="116" t="s">
        <v>29</v>
      </c>
      <c r="L4" s="117">
        <v>1545</v>
      </c>
    </row>
    <row r="5" spans="2:12" ht="15">
      <c r="B5" t="s">
        <v>30</v>
      </c>
      <c r="D5" s="26">
        <f t="shared" si="0"/>
        <v>1650.29</v>
      </c>
      <c r="E5" s="26"/>
      <c r="G5" s="26"/>
      <c r="K5" s="116" t="s">
        <v>30</v>
      </c>
      <c r="L5" s="117">
        <v>1650.29</v>
      </c>
    </row>
    <row r="6" spans="2:12" ht="15">
      <c r="B6" t="s">
        <v>31</v>
      </c>
      <c r="D6" s="26">
        <f t="shared" si="0"/>
        <v>676</v>
      </c>
      <c r="G6" s="26"/>
      <c r="K6" s="116" t="s">
        <v>31</v>
      </c>
      <c r="L6" s="117">
        <v>676</v>
      </c>
    </row>
    <row r="7" spans="2:12" ht="15">
      <c r="B7" t="s">
        <v>32</v>
      </c>
      <c r="D7" s="26">
        <f t="shared" si="0"/>
        <v>1953.14</v>
      </c>
      <c r="E7" s="26"/>
      <c r="G7" s="26"/>
      <c r="K7" s="116" t="s">
        <v>32</v>
      </c>
      <c r="L7" s="117">
        <v>1953.14</v>
      </c>
    </row>
    <row r="8" spans="2:12" ht="15">
      <c r="B8" t="s">
        <v>33</v>
      </c>
      <c r="D8" s="26">
        <f t="shared" si="0"/>
        <v>2466.4299999999998</v>
      </c>
      <c r="E8" s="26"/>
      <c r="G8" s="26"/>
      <c r="K8" s="116" t="s">
        <v>33</v>
      </c>
      <c r="L8" s="117">
        <v>2466.4299999999998</v>
      </c>
    </row>
    <row r="9" spans="2:12" ht="15">
      <c r="B9" t="s">
        <v>34</v>
      </c>
      <c r="D9" s="26">
        <f t="shared" si="0"/>
        <v>2328.5700000000002</v>
      </c>
      <c r="G9" s="26"/>
      <c r="K9" s="116" t="s">
        <v>34</v>
      </c>
      <c r="L9" s="117">
        <v>2328.5700000000002</v>
      </c>
    </row>
    <row r="10" spans="2:12" ht="15">
      <c r="B10" t="s">
        <v>35</v>
      </c>
      <c r="D10" s="26">
        <f t="shared" si="0"/>
        <v>2133.4299999999998</v>
      </c>
      <c r="E10" s="26"/>
      <c r="G10" s="26"/>
      <c r="K10" s="116" t="s">
        <v>35</v>
      </c>
      <c r="L10" s="117">
        <v>2133.4299999999998</v>
      </c>
    </row>
    <row r="11" spans="2:12" ht="15">
      <c r="B11" t="s">
        <v>36</v>
      </c>
      <c r="D11" s="26">
        <f t="shared" si="0"/>
        <v>2276.71</v>
      </c>
      <c r="E11" s="26"/>
      <c r="K11" s="116" t="s">
        <v>36</v>
      </c>
      <c r="L11" s="117">
        <v>2276.71</v>
      </c>
    </row>
    <row r="12" spans="2:12" ht="15">
      <c r="B12" t="s">
        <v>37</v>
      </c>
      <c r="D12" s="26">
        <f t="shared" si="0"/>
        <v>2269.5700000000002</v>
      </c>
      <c r="E12" s="26"/>
      <c r="G12" s="26"/>
      <c r="K12" s="116" t="s">
        <v>37</v>
      </c>
      <c r="L12" s="117">
        <v>2269.5700000000002</v>
      </c>
    </row>
    <row r="13" spans="2:12" ht="15">
      <c r="B13" t="s">
        <v>38</v>
      </c>
      <c r="D13" s="26">
        <f t="shared" si="0"/>
        <v>2268</v>
      </c>
      <c r="G13" s="26"/>
      <c r="K13" s="116" t="s">
        <v>38</v>
      </c>
      <c r="L13" s="117">
        <v>2268</v>
      </c>
    </row>
    <row r="14" spans="2:12">
      <c r="B14" t="s">
        <v>39</v>
      </c>
      <c r="D14" s="26">
        <f t="shared" si="0"/>
        <v>2142.29</v>
      </c>
      <c r="E14" s="26"/>
      <c r="G14" s="26"/>
      <c r="K14" s="118" t="s">
        <v>39</v>
      </c>
      <c r="L14" s="117">
        <v>2142.29</v>
      </c>
    </row>
    <row r="15" spans="2:12">
      <c r="B15" t="s">
        <v>40</v>
      </c>
      <c r="D15" s="26">
        <f t="shared" si="0"/>
        <v>2129.14</v>
      </c>
      <c r="E15" s="26"/>
      <c r="G15" s="26"/>
      <c r="K15" s="118" t="s">
        <v>40</v>
      </c>
      <c r="L15" s="117">
        <v>2129.14</v>
      </c>
    </row>
    <row r="16" spans="2:12">
      <c r="B16" t="s">
        <v>41</v>
      </c>
      <c r="D16" s="26">
        <f t="shared" si="0"/>
        <v>2197</v>
      </c>
      <c r="E16" s="26"/>
      <c r="G16" s="26"/>
      <c r="K16" s="118" t="s">
        <v>41</v>
      </c>
      <c r="L16" s="117">
        <v>2197</v>
      </c>
    </row>
    <row r="17" spans="2:12">
      <c r="B17" t="s">
        <v>42</v>
      </c>
      <c r="D17" s="26">
        <f t="shared" si="0"/>
        <v>2078.14</v>
      </c>
      <c r="E17" s="26"/>
      <c r="G17" s="26"/>
      <c r="K17" s="118" t="s">
        <v>42</v>
      </c>
      <c r="L17" s="117">
        <v>2078.14</v>
      </c>
    </row>
    <row r="18" spans="2:12">
      <c r="B18" t="s">
        <v>43</v>
      </c>
      <c r="D18" s="26">
        <f t="shared" si="0"/>
        <v>2619.86</v>
      </c>
      <c r="E18" s="26"/>
      <c r="G18" s="26"/>
      <c r="K18" s="118" t="s">
        <v>43</v>
      </c>
      <c r="L18" s="117">
        <v>2619.86</v>
      </c>
    </row>
    <row r="19" spans="2:12">
      <c r="B19" t="s">
        <v>44</v>
      </c>
      <c r="D19" s="26">
        <f t="shared" si="0"/>
        <v>2056.5700000000002</v>
      </c>
      <c r="G19" s="26"/>
      <c r="K19" s="118" t="s">
        <v>44</v>
      </c>
      <c r="L19" s="117">
        <v>2056.5700000000002</v>
      </c>
    </row>
    <row r="20" spans="2:12">
      <c r="B20" t="s">
        <v>45</v>
      </c>
      <c r="D20" s="26">
        <f t="shared" si="0"/>
        <v>2672.43</v>
      </c>
      <c r="E20" s="26"/>
      <c r="K20" s="118" t="s">
        <v>45</v>
      </c>
      <c r="L20" s="117">
        <v>2672.43</v>
      </c>
    </row>
    <row r="21" spans="2:12">
      <c r="B21" t="s">
        <v>46</v>
      </c>
      <c r="D21" s="26">
        <f t="shared" si="0"/>
        <v>2282.4299999999998</v>
      </c>
      <c r="E21" s="26"/>
      <c r="G21" s="26"/>
      <c r="K21" s="118" t="s">
        <v>46</v>
      </c>
      <c r="L21" s="117">
        <v>2282.4299999999998</v>
      </c>
    </row>
    <row r="22" spans="2:12">
      <c r="B22" t="s">
        <v>47</v>
      </c>
      <c r="D22" s="26">
        <f t="shared" si="0"/>
        <v>859.71</v>
      </c>
      <c r="G22" s="26"/>
      <c r="K22" s="118" t="s">
        <v>47</v>
      </c>
      <c r="L22" s="117">
        <v>859.71</v>
      </c>
    </row>
    <row r="23" spans="2:12">
      <c r="B23" t="s">
        <v>48</v>
      </c>
      <c r="D23" s="26">
        <f t="shared" si="0"/>
        <v>2458.71</v>
      </c>
      <c r="E23" s="26"/>
      <c r="G23" s="26"/>
      <c r="K23" s="118" t="s">
        <v>48</v>
      </c>
      <c r="L23" s="117">
        <v>2458.71</v>
      </c>
    </row>
    <row r="24" spans="2:12">
      <c r="B24" t="s">
        <v>49</v>
      </c>
      <c r="D24" s="26">
        <f t="shared" si="0"/>
        <v>1891.86</v>
      </c>
      <c r="E24" s="26"/>
      <c r="G24" s="26"/>
      <c r="K24" s="118" t="s">
        <v>49</v>
      </c>
      <c r="L24" s="117">
        <v>1891.86</v>
      </c>
    </row>
    <row r="25" spans="2:12">
      <c r="B25" t="s">
        <v>50</v>
      </c>
      <c r="D25" s="26">
        <f t="shared" si="0"/>
        <v>2543.29</v>
      </c>
      <c r="E25" s="26"/>
      <c r="G25" s="26"/>
      <c r="K25" s="118" t="s">
        <v>50</v>
      </c>
      <c r="L25" s="117">
        <v>2543.29</v>
      </c>
    </row>
    <row r="26" spans="2:12">
      <c r="B26" t="s">
        <v>51</v>
      </c>
      <c r="D26" s="26">
        <f t="shared" si="0"/>
        <v>2235.14</v>
      </c>
      <c r="E26" s="26"/>
      <c r="G26" s="26"/>
      <c r="K26" s="120" t="s">
        <v>51</v>
      </c>
      <c r="L26" s="117">
        <v>2235.14</v>
      </c>
    </row>
    <row r="27" spans="2:12">
      <c r="B27" t="s">
        <v>52</v>
      </c>
      <c r="D27" s="26">
        <f t="shared" si="0"/>
        <v>1918.71</v>
      </c>
      <c r="E27" s="26"/>
      <c r="G27" s="26"/>
      <c r="K27" s="118" t="s">
        <v>52</v>
      </c>
      <c r="L27" s="117">
        <v>1918.71</v>
      </c>
    </row>
    <row r="28" spans="2:12">
      <c r="B28" t="s">
        <v>53</v>
      </c>
      <c r="D28" s="26">
        <f t="shared" si="0"/>
        <v>886.43</v>
      </c>
      <c r="G28" s="26"/>
      <c r="K28" s="118" t="s">
        <v>53</v>
      </c>
      <c r="L28" s="117">
        <v>886.43</v>
      </c>
    </row>
    <row r="29" spans="2:12">
      <c r="B29" t="s">
        <v>54</v>
      </c>
      <c r="D29" s="26">
        <f t="shared" si="0"/>
        <v>671.57</v>
      </c>
      <c r="G29" s="26"/>
      <c r="K29" s="118" t="s">
        <v>54</v>
      </c>
      <c r="L29" s="117">
        <v>671.57</v>
      </c>
    </row>
    <row r="30" spans="2:12">
      <c r="B30" t="s">
        <v>55</v>
      </c>
      <c r="D30" s="26">
        <f t="shared" si="0"/>
        <v>2378</v>
      </c>
      <c r="E30" s="26"/>
      <c r="G30" s="26"/>
      <c r="K30" s="118" t="s">
        <v>55</v>
      </c>
      <c r="L30" s="117">
        <v>2378</v>
      </c>
    </row>
    <row r="31" spans="2:12">
      <c r="B31" t="s">
        <v>56</v>
      </c>
      <c r="D31" s="26">
        <f t="shared" si="0"/>
        <v>2076.29</v>
      </c>
      <c r="G31" s="26"/>
      <c r="K31" s="118" t="s">
        <v>56</v>
      </c>
      <c r="L31" s="117">
        <v>2076.29</v>
      </c>
    </row>
    <row r="32" spans="2:12">
      <c r="B32" t="s">
        <v>57</v>
      </c>
      <c r="D32" s="26">
        <f t="shared" si="0"/>
        <v>2209.4299999999998</v>
      </c>
      <c r="E32" s="26"/>
      <c r="K32" s="118" t="s">
        <v>57</v>
      </c>
      <c r="L32" s="117">
        <v>2209.4299999999998</v>
      </c>
    </row>
    <row r="33" spans="2:12">
      <c r="B33" t="s">
        <v>58</v>
      </c>
      <c r="D33" s="26">
        <f t="shared" si="0"/>
        <v>2203.5700000000002</v>
      </c>
      <c r="E33" s="26"/>
      <c r="G33" s="26"/>
      <c r="K33" s="118" t="s">
        <v>58</v>
      </c>
      <c r="L33" s="117">
        <v>2203.5700000000002</v>
      </c>
    </row>
    <row r="34" spans="2:12">
      <c r="B34" t="s">
        <v>59</v>
      </c>
      <c r="D34" s="26">
        <f t="shared" si="0"/>
        <v>2223.4299999999998</v>
      </c>
      <c r="E34" s="26"/>
      <c r="G34" s="26"/>
      <c r="K34" s="118" t="s">
        <v>59</v>
      </c>
      <c r="L34" s="117">
        <v>2223.4299999999998</v>
      </c>
    </row>
    <row r="35" spans="2:12">
      <c r="B35" t="s">
        <v>60</v>
      </c>
      <c r="D35" s="26">
        <f t="shared" si="0"/>
        <v>2311</v>
      </c>
      <c r="E35" s="26"/>
      <c r="G35" s="26"/>
      <c r="K35" s="118" t="s">
        <v>60</v>
      </c>
      <c r="L35" s="117">
        <v>2311</v>
      </c>
    </row>
    <row r="36" spans="2:12">
      <c r="B36" t="s">
        <v>61</v>
      </c>
      <c r="D36" s="26">
        <f t="shared" si="0"/>
        <v>2113.86</v>
      </c>
      <c r="E36" s="26"/>
      <c r="G36" s="26"/>
      <c r="K36" s="118" t="s">
        <v>61</v>
      </c>
      <c r="L36" s="117">
        <v>2113.86</v>
      </c>
    </row>
    <row r="37" spans="2:12">
      <c r="B37" t="s">
        <v>62</v>
      </c>
      <c r="D37" s="26">
        <f t="shared" si="0"/>
        <v>2335.29</v>
      </c>
      <c r="E37" s="26"/>
      <c r="G37" s="26"/>
      <c r="K37" s="118" t="s">
        <v>62</v>
      </c>
      <c r="L37" s="117">
        <v>2335.29</v>
      </c>
    </row>
    <row r="38" spans="2:12">
      <c r="B38" t="s">
        <v>63</v>
      </c>
      <c r="D38" s="26">
        <f t="shared" si="0"/>
        <v>2197.71</v>
      </c>
      <c r="E38" s="26"/>
      <c r="G38" s="26"/>
      <c r="K38" s="118" t="s">
        <v>63</v>
      </c>
      <c r="L38" s="117">
        <v>2197.71</v>
      </c>
    </row>
    <row r="39" spans="2:12">
      <c r="B39" t="s">
        <v>64</v>
      </c>
      <c r="D39" s="26">
        <f t="shared" si="0"/>
        <v>2038</v>
      </c>
      <c r="E39" s="26"/>
      <c r="G39" s="26"/>
      <c r="K39" s="118" t="s">
        <v>64</v>
      </c>
      <c r="L39" s="117">
        <v>2038</v>
      </c>
    </row>
    <row r="40" spans="2:12">
      <c r="B40" t="s">
        <v>65</v>
      </c>
      <c r="D40" s="26">
        <f t="shared" si="0"/>
        <v>2664</v>
      </c>
      <c r="E40" s="26"/>
      <c r="G40" s="26"/>
      <c r="K40" s="118" t="s">
        <v>65</v>
      </c>
      <c r="L40" s="117">
        <v>2664</v>
      </c>
    </row>
    <row r="41" spans="2:12">
      <c r="B41" t="s">
        <v>66</v>
      </c>
      <c r="D41" s="26">
        <f t="shared" si="0"/>
        <v>1459.43</v>
      </c>
      <c r="E41" s="26"/>
      <c r="G41" s="26"/>
      <c r="K41" s="118" t="s">
        <v>66</v>
      </c>
      <c r="L41" s="117">
        <v>1459.43</v>
      </c>
    </row>
    <row r="42" spans="2:12">
      <c r="B42" t="s">
        <v>67</v>
      </c>
      <c r="D42" s="26">
        <f t="shared" si="0"/>
        <v>2193.5700000000002</v>
      </c>
      <c r="E42" s="26"/>
      <c r="G42" s="26"/>
      <c r="K42" s="118" t="s">
        <v>67</v>
      </c>
      <c r="L42" s="117">
        <v>2193.5700000000002</v>
      </c>
    </row>
    <row r="43" spans="2:12">
      <c r="B43" t="s">
        <v>68</v>
      </c>
      <c r="D43" s="26">
        <f t="shared" si="0"/>
        <v>2268.71</v>
      </c>
      <c r="E43" s="26"/>
      <c r="G43" s="26"/>
      <c r="K43" s="118" t="s">
        <v>68</v>
      </c>
      <c r="L43" s="117">
        <v>2268.71</v>
      </c>
    </row>
    <row r="44" spans="2:12">
      <c r="B44" t="s">
        <v>69</v>
      </c>
      <c r="D44" s="26">
        <f t="shared" si="0"/>
        <v>2314.29</v>
      </c>
      <c r="E44" s="26"/>
      <c r="G44" s="26"/>
      <c r="K44" s="118" t="s">
        <v>69</v>
      </c>
      <c r="L44" s="117">
        <v>2314.29</v>
      </c>
    </row>
    <row r="45" spans="2:12">
      <c r="B45" t="s">
        <v>70</v>
      </c>
      <c r="D45" s="26">
        <f t="shared" si="0"/>
        <v>2079.4299999999998</v>
      </c>
      <c r="E45" s="26"/>
      <c r="K45" s="118" t="s">
        <v>70</v>
      </c>
      <c r="L45" s="117">
        <v>2079.4299999999998</v>
      </c>
    </row>
    <row r="46" spans="2:12">
      <c r="B46" t="s">
        <v>71</v>
      </c>
      <c r="D46" s="26">
        <f t="shared" si="0"/>
        <v>1631.29</v>
      </c>
      <c r="E46" s="26"/>
      <c r="G46" s="26"/>
      <c r="K46" s="118" t="s">
        <v>71</v>
      </c>
      <c r="L46" s="117">
        <v>1631.29</v>
      </c>
    </row>
    <row r="47" spans="2:12">
      <c r="B47" t="s">
        <v>72</v>
      </c>
      <c r="D47" s="26">
        <f t="shared" si="0"/>
        <v>2099</v>
      </c>
      <c r="E47" s="26"/>
      <c r="G47" s="26"/>
      <c r="K47" s="118" t="s">
        <v>72</v>
      </c>
      <c r="L47" s="117">
        <v>2099</v>
      </c>
    </row>
    <row r="48" spans="2:12">
      <c r="B48" t="s">
        <v>73</v>
      </c>
      <c r="D48" s="26">
        <f t="shared" si="0"/>
        <v>2257.71</v>
      </c>
      <c r="E48" s="26"/>
      <c r="G48" s="26"/>
      <c r="K48" s="120" t="s">
        <v>73</v>
      </c>
      <c r="L48" s="117">
        <v>2257.71</v>
      </c>
    </row>
    <row r="49" spans="2:12">
      <c r="B49" t="s">
        <v>74</v>
      </c>
      <c r="D49" s="26">
        <f t="shared" si="0"/>
        <v>2573</v>
      </c>
      <c r="E49" s="26"/>
      <c r="G49" s="26"/>
      <c r="K49" s="118" t="s">
        <v>74</v>
      </c>
      <c r="L49" s="117">
        <v>2573</v>
      </c>
    </row>
    <row r="50" spans="2:12">
      <c r="B50" t="s">
        <v>75</v>
      </c>
      <c r="D50" s="26">
        <f t="shared" si="0"/>
        <v>1968.57</v>
      </c>
      <c r="E50" s="26"/>
      <c r="G50" s="26"/>
      <c r="K50" s="118" t="s">
        <v>75</v>
      </c>
      <c r="L50" s="117">
        <v>1968.57</v>
      </c>
    </row>
    <row r="51" spans="2:12">
      <c r="B51" t="s">
        <v>76</v>
      </c>
      <c r="D51" s="26">
        <f t="shared" si="0"/>
        <v>1970.29</v>
      </c>
      <c r="E51" s="26"/>
      <c r="G51" s="26"/>
      <c r="K51" s="118" t="s">
        <v>76</v>
      </c>
      <c r="L51" s="117">
        <v>1970.29</v>
      </c>
    </row>
    <row r="52" spans="2:12">
      <c r="B52" t="s">
        <v>77</v>
      </c>
      <c r="D52" s="26">
        <f t="shared" si="0"/>
        <v>2030.14</v>
      </c>
      <c r="E52" s="26"/>
      <c r="K52" s="118" t="s">
        <v>77</v>
      </c>
      <c r="L52" s="117">
        <v>2030.14</v>
      </c>
    </row>
    <row r="53" spans="2:12">
      <c r="B53" t="s">
        <v>78</v>
      </c>
      <c r="D53" s="26">
        <f t="shared" si="0"/>
        <v>1644.86</v>
      </c>
      <c r="K53" s="118" t="s">
        <v>78</v>
      </c>
      <c r="L53" s="117">
        <v>1644.86</v>
      </c>
    </row>
    <row r="54" spans="2:12">
      <c r="B54" t="s">
        <v>79</v>
      </c>
      <c r="D54" s="26">
        <f t="shared" si="0"/>
        <v>1900</v>
      </c>
      <c r="K54" s="118" t="s">
        <v>79</v>
      </c>
      <c r="L54" s="117">
        <v>1900</v>
      </c>
    </row>
    <row r="55" spans="2:12">
      <c r="B55" t="s">
        <v>80</v>
      </c>
      <c r="D55" s="26">
        <f t="shared" si="0"/>
        <v>2259.14</v>
      </c>
      <c r="K55" s="118" t="s">
        <v>80</v>
      </c>
      <c r="L55" s="117">
        <v>2259.14</v>
      </c>
    </row>
    <row r="56" spans="2:12">
      <c r="B56" t="s">
        <v>81</v>
      </c>
      <c r="D56" s="26">
        <f t="shared" si="0"/>
        <v>1857.86</v>
      </c>
      <c r="K56" s="118" t="s">
        <v>81</v>
      </c>
      <c r="L56" s="117">
        <v>1857.86</v>
      </c>
    </row>
    <row r="57" spans="2:12">
      <c r="B57" t="s">
        <v>82</v>
      </c>
      <c r="D57" s="26">
        <f t="shared" si="0"/>
        <v>2440.14</v>
      </c>
      <c r="K57" s="118" t="s">
        <v>82</v>
      </c>
      <c r="L57" s="117">
        <v>2440.14</v>
      </c>
    </row>
    <row r="58" spans="2:12">
      <c r="B58" t="s">
        <v>83</v>
      </c>
      <c r="D58" s="26">
        <f t="shared" si="0"/>
        <v>1480.43</v>
      </c>
      <c r="K58" s="118" t="s">
        <v>83</v>
      </c>
      <c r="L58" s="117">
        <v>1480.43</v>
      </c>
    </row>
    <row r="59" spans="2:12">
      <c r="B59" t="s">
        <v>84</v>
      </c>
      <c r="D59" s="26">
        <f t="shared" si="0"/>
        <v>2258.5700000000002</v>
      </c>
      <c r="K59" s="118" t="s">
        <v>84</v>
      </c>
      <c r="L59" s="117">
        <v>2258.5700000000002</v>
      </c>
    </row>
    <row r="60" spans="2:12">
      <c r="B60" t="s">
        <v>85</v>
      </c>
      <c r="D60" s="26">
        <f t="shared" si="0"/>
        <v>2287.5700000000002</v>
      </c>
      <c r="K60" s="118" t="s">
        <v>85</v>
      </c>
      <c r="L60" s="117">
        <v>2287.5700000000002</v>
      </c>
    </row>
    <row r="61" spans="2:12">
      <c r="B61" t="s">
        <v>86</v>
      </c>
      <c r="D61" s="26">
        <f t="shared" si="0"/>
        <v>812.71</v>
      </c>
      <c r="K61" s="118" t="s">
        <v>86</v>
      </c>
      <c r="L61" s="117">
        <v>812.71</v>
      </c>
    </row>
    <row r="62" spans="2:12">
      <c r="B62" t="s">
        <v>87</v>
      </c>
      <c r="D62" s="26">
        <f t="shared" si="0"/>
        <v>2816.43</v>
      </c>
      <c r="K62" s="118" t="s">
        <v>87</v>
      </c>
      <c r="L62" s="117">
        <v>2816.43</v>
      </c>
    </row>
    <row r="63" spans="2:12">
      <c r="B63" t="s">
        <v>88</v>
      </c>
      <c r="D63" s="26">
        <f t="shared" si="0"/>
        <v>1193</v>
      </c>
      <c r="K63" s="118" t="s">
        <v>88</v>
      </c>
      <c r="L63" s="117">
        <v>1193</v>
      </c>
    </row>
    <row r="64" spans="2:12">
      <c r="B64" t="s">
        <v>89</v>
      </c>
      <c r="D64" s="26">
        <f t="shared" si="0"/>
        <v>2122</v>
      </c>
      <c r="K64" s="118" t="s">
        <v>89</v>
      </c>
      <c r="L64" s="117">
        <v>2122</v>
      </c>
    </row>
    <row r="65" spans="2:12">
      <c r="B65" t="s">
        <v>90</v>
      </c>
      <c r="D65" s="26">
        <f t="shared" si="0"/>
        <v>1590.57</v>
      </c>
      <c r="K65" s="118" t="s">
        <v>90</v>
      </c>
      <c r="L65" s="117">
        <v>1590.57</v>
      </c>
    </row>
    <row r="66" spans="2:12">
      <c r="B66" t="s">
        <v>91</v>
      </c>
      <c r="D66" s="26">
        <f t="shared" si="0"/>
        <v>2418.5700000000002</v>
      </c>
      <c r="K66" s="118" t="s">
        <v>91</v>
      </c>
      <c r="L66" s="117">
        <v>2418.5700000000002</v>
      </c>
    </row>
    <row r="67" spans="2:12">
      <c r="B67" t="s">
        <v>92</v>
      </c>
      <c r="D67" s="26">
        <f t="shared" si="0"/>
        <v>2500.5700000000002</v>
      </c>
      <c r="K67" s="118" t="s">
        <v>92</v>
      </c>
      <c r="L67" s="117">
        <v>2500.5700000000002</v>
      </c>
    </row>
    <row r="68" spans="2:12">
      <c r="B68" t="s">
        <v>93</v>
      </c>
      <c r="D68" s="26">
        <f t="shared" ref="D68:D104" si="1">VLOOKUP(B68,K:L,2,FALSE)</f>
        <v>2172</v>
      </c>
      <c r="K68" s="118" t="s">
        <v>93</v>
      </c>
      <c r="L68" s="117">
        <v>2172</v>
      </c>
    </row>
    <row r="69" spans="2:12">
      <c r="B69" t="s">
        <v>94</v>
      </c>
      <c r="D69" s="26">
        <f t="shared" si="1"/>
        <v>2091.71</v>
      </c>
      <c r="K69" s="118" t="s">
        <v>94</v>
      </c>
      <c r="L69" s="117">
        <v>2091.71</v>
      </c>
    </row>
    <row r="70" spans="2:12">
      <c r="B70" t="s">
        <v>95</v>
      </c>
      <c r="D70" s="26">
        <f t="shared" si="1"/>
        <v>702.86</v>
      </c>
      <c r="K70" s="118" t="s">
        <v>95</v>
      </c>
      <c r="L70" s="117">
        <v>702.86</v>
      </c>
    </row>
    <row r="71" spans="2:12">
      <c r="B71" t="s">
        <v>96</v>
      </c>
      <c r="D71" s="26">
        <f t="shared" si="1"/>
        <v>1959.71</v>
      </c>
      <c r="K71" s="118" t="s">
        <v>96</v>
      </c>
      <c r="L71" s="117">
        <v>1959.71</v>
      </c>
    </row>
    <row r="72" spans="2:12">
      <c r="B72" t="s">
        <v>97</v>
      </c>
      <c r="D72" s="26">
        <f t="shared" si="1"/>
        <v>2193</v>
      </c>
      <c r="K72" s="118" t="s">
        <v>97</v>
      </c>
      <c r="L72" s="117">
        <v>2193</v>
      </c>
    </row>
    <row r="73" spans="2:12">
      <c r="B73" t="s">
        <v>98</v>
      </c>
      <c r="D73" s="26">
        <f t="shared" si="1"/>
        <v>2821.71</v>
      </c>
      <c r="K73" s="118" t="s">
        <v>98</v>
      </c>
      <c r="L73" s="117">
        <v>2821.71</v>
      </c>
    </row>
    <row r="74" spans="2:12">
      <c r="B74" t="s">
        <v>99</v>
      </c>
      <c r="D74" s="26">
        <f t="shared" si="1"/>
        <v>2651.43</v>
      </c>
      <c r="K74" s="118" t="s">
        <v>99</v>
      </c>
      <c r="L74" s="117">
        <v>2651.43</v>
      </c>
    </row>
    <row r="75" spans="2:12">
      <c r="B75" t="s">
        <v>100</v>
      </c>
      <c r="D75" s="26">
        <f t="shared" si="1"/>
        <v>1950.14</v>
      </c>
      <c r="K75" s="118" t="s">
        <v>100</v>
      </c>
      <c r="L75" s="117">
        <v>1950.14</v>
      </c>
    </row>
    <row r="76" spans="2:12">
      <c r="B76" t="s">
        <v>101</v>
      </c>
      <c r="D76" s="26">
        <f t="shared" si="1"/>
        <v>2317.14</v>
      </c>
      <c r="K76" s="118" t="s">
        <v>101</v>
      </c>
      <c r="L76" s="117">
        <v>2317.14</v>
      </c>
    </row>
    <row r="77" spans="2:12">
      <c r="B77" t="s">
        <v>102</v>
      </c>
      <c r="D77" s="26">
        <f t="shared" si="1"/>
        <v>2337.29</v>
      </c>
      <c r="K77" s="118" t="s">
        <v>102</v>
      </c>
      <c r="L77" s="117">
        <v>2337.29</v>
      </c>
    </row>
    <row r="78" spans="2:12">
      <c r="B78" t="s">
        <v>103</v>
      </c>
      <c r="D78" s="26">
        <f t="shared" si="1"/>
        <v>2427.29</v>
      </c>
      <c r="K78" s="118" t="s">
        <v>103</v>
      </c>
      <c r="L78" s="117">
        <v>2427.29</v>
      </c>
    </row>
    <row r="79" spans="2:12">
      <c r="B79" t="s">
        <v>104</v>
      </c>
      <c r="D79" s="26">
        <f t="shared" si="1"/>
        <v>1596.71</v>
      </c>
      <c r="K79" s="118" t="s">
        <v>104</v>
      </c>
      <c r="L79" s="117">
        <v>1596.71</v>
      </c>
    </row>
    <row r="80" spans="2:12">
      <c r="B80" t="s">
        <v>105</v>
      </c>
      <c r="D80" s="26">
        <f t="shared" si="1"/>
        <v>2334.86</v>
      </c>
      <c r="K80" s="118" t="s">
        <v>105</v>
      </c>
      <c r="L80" s="117">
        <v>2334.86</v>
      </c>
    </row>
    <row r="81" spans="2:12">
      <c r="B81" t="s">
        <v>106</v>
      </c>
      <c r="D81" s="26">
        <f t="shared" si="1"/>
        <v>2180.29</v>
      </c>
      <c r="K81" s="118" t="s">
        <v>106</v>
      </c>
      <c r="L81" s="117">
        <v>2180.29</v>
      </c>
    </row>
    <row r="82" spans="2:12">
      <c r="B82" t="s">
        <v>107</v>
      </c>
      <c r="D82" s="26">
        <f t="shared" si="1"/>
        <v>996.43</v>
      </c>
      <c r="K82" s="118" t="s">
        <v>107</v>
      </c>
      <c r="L82" s="117">
        <v>996.43</v>
      </c>
    </row>
    <row r="83" spans="2:12">
      <c r="B83" t="s">
        <v>108</v>
      </c>
      <c r="D83" s="26">
        <f t="shared" si="1"/>
        <v>2251.86</v>
      </c>
      <c r="K83" s="118" t="s">
        <v>108</v>
      </c>
      <c r="L83" s="117">
        <v>2251.86</v>
      </c>
    </row>
    <row r="84" spans="2:12">
      <c r="B84" t="s">
        <v>109</v>
      </c>
      <c r="D84" s="26">
        <f t="shared" si="1"/>
        <v>2341.71</v>
      </c>
      <c r="K84" s="118" t="s">
        <v>109</v>
      </c>
      <c r="L84" s="117">
        <v>2341.71</v>
      </c>
    </row>
    <row r="85" spans="2:12">
      <c r="B85" t="s">
        <v>110</v>
      </c>
      <c r="D85" s="26">
        <f t="shared" si="1"/>
        <v>2441.71</v>
      </c>
      <c r="K85" s="118" t="s">
        <v>110</v>
      </c>
      <c r="L85" s="117">
        <v>2441.71</v>
      </c>
    </row>
    <row r="86" spans="2:12">
      <c r="B86" t="s">
        <v>111</v>
      </c>
      <c r="D86" s="26">
        <f t="shared" si="1"/>
        <v>2765.57</v>
      </c>
      <c r="K86" s="118" t="s">
        <v>111</v>
      </c>
      <c r="L86" s="117">
        <v>2765.57</v>
      </c>
    </row>
    <row r="87" spans="2:12">
      <c r="B87" t="s">
        <v>112</v>
      </c>
      <c r="D87" s="26">
        <f t="shared" si="1"/>
        <v>2064.5700000000002</v>
      </c>
      <c r="K87" s="118" t="s">
        <v>112</v>
      </c>
      <c r="L87" s="117">
        <v>2064.5700000000002</v>
      </c>
    </row>
    <row r="88" spans="2:12">
      <c r="B88" t="s">
        <v>113</v>
      </c>
      <c r="D88" s="26">
        <f t="shared" si="1"/>
        <v>2095.14</v>
      </c>
      <c r="K88" s="118" t="s">
        <v>113</v>
      </c>
      <c r="L88" s="117">
        <v>2095.14</v>
      </c>
    </row>
    <row r="89" spans="2:12">
      <c r="B89" t="s">
        <v>114</v>
      </c>
      <c r="D89" s="26">
        <f t="shared" si="1"/>
        <v>1415.86</v>
      </c>
      <c r="K89" s="118" t="s">
        <v>114</v>
      </c>
      <c r="L89" s="117">
        <v>1415.86</v>
      </c>
    </row>
    <row r="90" spans="2:12">
      <c r="B90" t="s">
        <v>115</v>
      </c>
      <c r="D90" s="26">
        <f t="shared" si="1"/>
        <v>1134.29</v>
      </c>
      <c r="K90" s="118" t="s">
        <v>115</v>
      </c>
      <c r="L90" s="117">
        <v>1134.29</v>
      </c>
    </row>
    <row r="91" spans="2:12">
      <c r="B91" t="s">
        <v>116</v>
      </c>
      <c r="D91" s="26">
        <f t="shared" si="1"/>
        <v>1110.71</v>
      </c>
      <c r="K91" s="118" t="s">
        <v>116</v>
      </c>
      <c r="L91" s="117">
        <v>1110.71</v>
      </c>
    </row>
    <row r="92" spans="2:12">
      <c r="B92" t="s">
        <v>117</v>
      </c>
      <c r="D92" s="26">
        <f t="shared" si="1"/>
        <v>1545.14</v>
      </c>
      <c r="K92" s="118" t="s">
        <v>117</v>
      </c>
      <c r="L92" s="117">
        <v>1545.14</v>
      </c>
    </row>
    <row r="93" spans="2:12">
      <c r="B93" t="s">
        <v>118</v>
      </c>
      <c r="D93" s="26">
        <f t="shared" si="1"/>
        <v>1289.43</v>
      </c>
      <c r="K93" s="118" t="s">
        <v>118</v>
      </c>
      <c r="L93" s="117">
        <v>1289.43</v>
      </c>
    </row>
    <row r="94" spans="2:12">
      <c r="B94" t="s">
        <v>119</v>
      </c>
      <c r="D94" s="26">
        <f t="shared" si="1"/>
        <v>1917.57</v>
      </c>
      <c r="K94" s="118" t="s">
        <v>119</v>
      </c>
      <c r="L94" s="117">
        <v>1917.57</v>
      </c>
    </row>
    <row r="95" spans="2:12">
      <c r="B95" t="s">
        <v>120</v>
      </c>
      <c r="D95" s="26">
        <f t="shared" si="1"/>
        <v>865</v>
      </c>
      <c r="K95" s="118" t="s">
        <v>120</v>
      </c>
      <c r="L95" s="117">
        <v>865</v>
      </c>
    </row>
    <row r="96" spans="2:12">
      <c r="B96" t="s">
        <v>121</v>
      </c>
      <c r="D96" s="26">
        <f t="shared" si="1"/>
        <v>2126.71</v>
      </c>
      <c r="K96" s="118" t="s">
        <v>121</v>
      </c>
      <c r="L96" s="117">
        <v>2126.71</v>
      </c>
    </row>
    <row r="97" spans="2:12">
      <c r="B97" t="s">
        <v>122</v>
      </c>
      <c r="D97" s="26">
        <f t="shared" si="1"/>
        <v>2205.5700000000002</v>
      </c>
      <c r="K97" s="118" t="s">
        <v>122</v>
      </c>
      <c r="L97" s="117">
        <v>2205.5700000000002</v>
      </c>
    </row>
    <row r="98" spans="2:12">
      <c r="B98" t="s">
        <v>123</v>
      </c>
      <c r="D98" s="26">
        <f t="shared" si="1"/>
        <v>2178.4299999999998</v>
      </c>
      <c r="K98" s="118" t="s">
        <v>123</v>
      </c>
      <c r="L98" s="117">
        <v>2178.4299999999998</v>
      </c>
    </row>
    <row r="99" spans="2:12">
      <c r="B99" t="s">
        <v>124</v>
      </c>
      <c r="D99" s="26">
        <f t="shared" si="1"/>
        <v>2269.71</v>
      </c>
      <c r="K99" s="118" t="s">
        <v>124</v>
      </c>
      <c r="L99" s="117">
        <v>2269.71</v>
      </c>
    </row>
    <row r="100" spans="2:12">
      <c r="B100" t="s">
        <v>125</v>
      </c>
      <c r="D100" s="26">
        <f t="shared" si="1"/>
        <v>2253.29</v>
      </c>
      <c r="K100" s="118" t="s">
        <v>125</v>
      </c>
      <c r="L100" s="117">
        <v>2253.29</v>
      </c>
    </row>
    <row r="101" spans="2:12">
      <c r="B101" t="s">
        <v>126</v>
      </c>
      <c r="D101" s="26">
        <f t="shared" si="1"/>
        <v>2228.71</v>
      </c>
      <c r="K101" s="118" t="s">
        <v>126</v>
      </c>
      <c r="L101" s="117">
        <v>2228.71</v>
      </c>
    </row>
    <row r="102" spans="2:12" ht="15">
      <c r="D102" s="26"/>
      <c r="K102" s="119" t="s">
        <v>140</v>
      </c>
      <c r="L102" s="117">
        <v>2077.5700000000002</v>
      </c>
    </row>
    <row r="103" spans="2:12">
      <c r="D103" s="26"/>
    </row>
    <row r="104" spans="2:12">
      <c r="B104" t="s">
        <v>140</v>
      </c>
      <c r="D104" s="26">
        <f t="shared" si="1"/>
        <v>2077.5700000000002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worksheet_FY20</vt:lpstr>
      <vt:lpstr>FY20_Ag_Vals</vt:lpstr>
      <vt:lpstr>worksheet_FY19</vt:lpstr>
      <vt:lpstr>worksheet_FY18</vt:lpstr>
      <vt:lpstr>worksheet_FY17</vt:lpstr>
      <vt:lpstr>worksheet_FY16</vt:lpstr>
      <vt:lpstr>agvalues</vt:lpstr>
      <vt:lpstr>LevyCalculator</vt:lpstr>
      <vt:lpstr>FY18_Ag_Vals</vt:lpstr>
      <vt:lpstr>FY19_Ag_Vals</vt:lpstr>
      <vt:lpstr>FY17_Ag_Vals_</vt:lpstr>
      <vt:lpstr>agvalues!Print_Area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2010-08-19T11:56:28Z</dcterms:created>
  <dcterms:modified xsi:type="dcterms:W3CDTF">2019-05-21T18:42:53Z</dcterms:modified>
</cp:coreProperties>
</file>